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qtmccub\Desktop\Paper work\Final version of supplementary material\"/>
    </mc:Choice>
  </mc:AlternateContent>
  <bookViews>
    <workbookView xWindow="0" yWindow="0" windowWidth="19200" windowHeight="11760" tabRatio="904"/>
  </bookViews>
  <sheets>
    <sheet name="Overall composition" sheetId="27" r:id="rId1"/>
    <sheet name="Model edits" sheetId="21" r:id="rId2"/>
    <sheet name="PAC DNA" sheetId="28" r:id="rId3"/>
    <sheet name="PAC RNA" sheetId="29" r:id="rId4"/>
    <sheet name="PAC proteins" sheetId="26" r:id="rId5"/>
    <sheet name="PAC small molecules" sheetId="24" r:id="rId6"/>
    <sheet name="PAC cell wall" sheetId="20" r:id="rId7"/>
    <sheet name="PAC lipids" sheetId="19" r:id="rId8"/>
    <sheet name="References" sheetId="17" r:id="rId9"/>
  </sheets>
  <calcPr calcId="152511"/>
</workbook>
</file>

<file path=xl/calcChain.xml><?xml version="1.0" encoding="utf-8"?>
<calcChain xmlns="http://schemas.openxmlformats.org/spreadsheetml/2006/main">
  <c r="E59" i="29" l="1"/>
  <c r="E60" i="29"/>
  <c r="E61" i="29"/>
  <c r="H36" i="24"/>
  <c r="H37" i="24"/>
  <c r="I114" i="20" l="1"/>
  <c r="I104" i="20"/>
  <c r="D81" i="20"/>
  <c r="C122" i="20"/>
  <c r="C120" i="20"/>
  <c r="F32" i="20"/>
  <c r="E65" i="20"/>
  <c r="D22" i="28"/>
  <c r="D21" i="28"/>
  <c r="D20" i="28"/>
  <c r="D19" i="28"/>
  <c r="C10" i="28"/>
  <c r="D5" i="28"/>
  <c r="E5" i="28"/>
  <c r="E10" i="28" s="1"/>
  <c r="C20" i="28" s="1"/>
  <c r="F5" i="28"/>
  <c r="G5" i="28"/>
  <c r="D6" i="28"/>
  <c r="E6" i="28"/>
  <c r="F6" i="28"/>
  <c r="G6" i="28"/>
  <c r="D7" i="28"/>
  <c r="E7" i="28"/>
  <c r="F7" i="28"/>
  <c r="G7" i="28"/>
  <c r="D8" i="28"/>
  <c r="E8" i="28"/>
  <c r="F8" i="28"/>
  <c r="G8" i="28"/>
  <c r="D9" i="28"/>
  <c r="E9" i="28"/>
  <c r="F9" i="28"/>
  <c r="G9" i="28"/>
  <c r="G4" i="28"/>
  <c r="F4" i="28"/>
  <c r="E4" i="28"/>
  <c r="D4" i="28"/>
  <c r="D59" i="29"/>
  <c r="D58" i="29"/>
  <c r="D57" i="29"/>
  <c r="D56" i="29"/>
  <c r="D60" i="29" s="1"/>
  <c r="E58" i="29" s="1"/>
  <c r="E47" i="29"/>
  <c r="D47" i="29"/>
  <c r="C47" i="29"/>
  <c r="B47" i="29"/>
  <c r="C39" i="29"/>
  <c r="D39" i="29"/>
  <c r="E39" i="29"/>
  <c r="B39" i="29"/>
  <c r="C30" i="29"/>
  <c r="D30" i="29"/>
  <c r="E30" i="29"/>
  <c r="B30" i="29"/>
  <c r="I20" i="29"/>
  <c r="M18" i="29" s="1"/>
  <c r="H20" i="29"/>
  <c r="G20" i="29"/>
  <c r="K18" i="29" s="1"/>
  <c r="F20" i="29"/>
  <c r="J18" i="29" s="1"/>
  <c r="I18" i="29"/>
  <c r="H18" i="29"/>
  <c r="G18" i="29"/>
  <c r="F18" i="29"/>
  <c r="I16" i="29"/>
  <c r="M14" i="29" s="1"/>
  <c r="H16" i="29"/>
  <c r="G16" i="29"/>
  <c r="K14" i="29" s="1"/>
  <c r="F16" i="29"/>
  <c r="I14" i="29"/>
  <c r="H14" i="29"/>
  <c r="G14" i="29"/>
  <c r="F14" i="29"/>
  <c r="I12" i="29"/>
  <c r="M10" i="29" s="1"/>
  <c r="H12" i="29"/>
  <c r="L10" i="29" s="1"/>
  <c r="G12" i="29"/>
  <c r="K10" i="29" s="1"/>
  <c r="F12" i="29"/>
  <c r="I10" i="29"/>
  <c r="H10" i="29"/>
  <c r="G10" i="29"/>
  <c r="F10" i="29"/>
  <c r="F31" i="24"/>
  <c r="F32" i="24"/>
  <c r="F33" i="24"/>
  <c r="F34" i="24"/>
  <c r="F35" i="24"/>
  <c r="F36" i="24"/>
  <c r="F37" i="24"/>
  <c r="F38" i="24"/>
  <c r="F30" i="24"/>
  <c r="E8" i="26"/>
  <c r="E16" i="26"/>
  <c r="E7" i="26"/>
  <c r="E9" i="26"/>
  <c r="E10" i="26"/>
  <c r="E11" i="26"/>
  <c r="E12" i="26"/>
  <c r="E13" i="26"/>
  <c r="E14" i="26"/>
  <c r="E15" i="26"/>
  <c r="E17" i="26"/>
  <c r="E18" i="26"/>
  <c r="E19" i="26"/>
  <c r="E20" i="26"/>
  <c r="E21" i="26"/>
  <c r="E22" i="26"/>
  <c r="E23" i="26"/>
  <c r="E24" i="26"/>
  <c r="E25" i="26"/>
  <c r="E26" i="26"/>
  <c r="B41" i="27"/>
  <c r="B22" i="27"/>
  <c r="C13" i="27"/>
  <c r="B27" i="27" s="1"/>
  <c r="J79" i="24"/>
  <c r="K58" i="24"/>
  <c r="K63" i="24"/>
  <c r="T7" i="19"/>
  <c r="T8" i="19"/>
  <c r="T9" i="19"/>
  <c r="T10" i="19"/>
  <c r="T11" i="19"/>
  <c r="T12" i="19"/>
  <c r="T13" i="19"/>
  <c r="T14" i="19"/>
  <c r="B15" i="19"/>
  <c r="C15" i="19"/>
  <c r="C41" i="19" s="1"/>
  <c r="D15" i="19"/>
  <c r="D41" i="19" s="1"/>
  <c r="E15" i="19"/>
  <c r="E41" i="19" s="1"/>
  <c r="F15" i="19"/>
  <c r="F41" i="19" s="1"/>
  <c r="G15" i="19"/>
  <c r="G41" i="19" s="1"/>
  <c r="H15" i="19"/>
  <c r="H41" i="19" s="1"/>
  <c r="I15" i="19"/>
  <c r="I41" i="19"/>
  <c r="J15" i="19"/>
  <c r="J41" i="19" s="1"/>
  <c r="K15" i="19"/>
  <c r="K41" i="19" s="1"/>
  <c r="L15" i="19"/>
  <c r="L41" i="19" s="1"/>
  <c r="M15" i="19"/>
  <c r="M41" i="19" s="1"/>
  <c r="N15" i="19"/>
  <c r="N41" i="19" s="1"/>
  <c r="O15" i="19"/>
  <c r="O41" i="19" s="1"/>
  <c r="P15" i="19"/>
  <c r="P41" i="19"/>
  <c r="Q15" i="19"/>
  <c r="Q41" i="19" s="1"/>
  <c r="R15" i="19"/>
  <c r="R41" i="19" s="1"/>
  <c r="S15" i="19"/>
  <c r="S41" i="19"/>
  <c r="T17" i="19"/>
  <c r="T18" i="19"/>
  <c r="T19" i="19"/>
  <c r="T20" i="19"/>
  <c r="T21" i="19"/>
  <c r="T22" i="19"/>
  <c r="T23" i="19"/>
  <c r="T24" i="19"/>
  <c r="T25" i="19"/>
  <c r="T26" i="19"/>
  <c r="T27" i="19"/>
  <c r="T28" i="19"/>
  <c r="T29" i="19"/>
  <c r="T30" i="19"/>
  <c r="T31" i="19"/>
  <c r="C32" i="19"/>
  <c r="C42" i="19" s="1"/>
  <c r="D32" i="19"/>
  <c r="D42" i="19"/>
  <c r="E32" i="19"/>
  <c r="E42" i="19" s="1"/>
  <c r="F32" i="19"/>
  <c r="F42" i="19" s="1"/>
  <c r="G32" i="19"/>
  <c r="G42" i="19"/>
  <c r="H32" i="19"/>
  <c r="H42" i="19"/>
  <c r="I32" i="19"/>
  <c r="I42" i="19" s="1"/>
  <c r="J32" i="19"/>
  <c r="J42" i="19" s="1"/>
  <c r="K32" i="19"/>
  <c r="K42" i="19" s="1"/>
  <c r="L32" i="19"/>
  <c r="L42" i="19" s="1"/>
  <c r="M32" i="19"/>
  <c r="M42" i="19"/>
  <c r="N32" i="19"/>
  <c r="N42" i="19" s="1"/>
  <c r="O32" i="19"/>
  <c r="O42" i="19" s="1"/>
  <c r="P32" i="19"/>
  <c r="P42" i="19"/>
  <c r="Q32" i="19"/>
  <c r="Q42" i="19"/>
  <c r="R32" i="19"/>
  <c r="R42" i="19" s="1"/>
  <c r="S32" i="19"/>
  <c r="S42" i="19" s="1"/>
  <c r="T33" i="19"/>
  <c r="T34" i="19"/>
  <c r="T35" i="19"/>
  <c r="T36" i="19"/>
  <c r="T37" i="19"/>
  <c r="C38" i="19"/>
  <c r="C43" i="19" s="1"/>
  <c r="D38" i="19"/>
  <c r="D43" i="19" s="1"/>
  <c r="E38" i="19"/>
  <c r="E43" i="19" s="1"/>
  <c r="F38" i="19"/>
  <c r="F43" i="19" s="1"/>
  <c r="G38" i="19"/>
  <c r="G43" i="19"/>
  <c r="H38" i="19"/>
  <c r="H43" i="19" s="1"/>
  <c r="I38" i="19"/>
  <c r="I43" i="19" s="1"/>
  <c r="J38" i="19"/>
  <c r="J43" i="19" s="1"/>
  <c r="K38" i="19"/>
  <c r="K43" i="19" s="1"/>
  <c r="L38" i="19"/>
  <c r="L43" i="19" s="1"/>
  <c r="M38" i="19"/>
  <c r="M43" i="19" s="1"/>
  <c r="N38" i="19"/>
  <c r="N43" i="19" s="1"/>
  <c r="O38" i="19"/>
  <c r="O43" i="19" s="1"/>
  <c r="P38" i="19"/>
  <c r="P43" i="19" s="1"/>
  <c r="Q38" i="19"/>
  <c r="Q43" i="19" s="1"/>
  <c r="R38" i="19"/>
  <c r="R43" i="19" s="1"/>
  <c r="S38" i="19"/>
  <c r="S43" i="19" s="1"/>
  <c r="G52" i="19"/>
  <c r="G53" i="19"/>
  <c r="G54" i="19"/>
  <c r="G55" i="19"/>
  <c r="G59" i="19" s="1"/>
  <c r="G56" i="19"/>
  <c r="G57" i="19"/>
  <c r="G58" i="19"/>
  <c r="D88" i="19"/>
  <c r="D89" i="19"/>
  <c r="A156" i="19"/>
  <c r="A157" i="19"/>
  <c r="A158" i="19"/>
  <c r="A159" i="19"/>
  <c r="A160" i="19"/>
  <c r="A161" i="19"/>
  <c r="A162" i="19"/>
  <c r="C20" i="20"/>
  <c r="C18" i="20" s="1"/>
  <c r="D20" i="20"/>
  <c r="F31" i="20"/>
  <c r="F33" i="20"/>
  <c r="F34" i="20"/>
  <c r="F35" i="20"/>
  <c r="F36" i="20"/>
  <c r="I60" i="20"/>
  <c r="L60" i="20" s="1"/>
  <c r="J60" i="20"/>
  <c r="M60" i="20"/>
  <c r="C75" i="20"/>
  <c r="E90" i="20"/>
  <c r="E91" i="20"/>
  <c r="E92" i="20"/>
  <c r="E93" i="20"/>
  <c r="E94" i="20"/>
  <c r="L14" i="29"/>
  <c r="L18" i="29"/>
  <c r="B29" i="27"/>
  <c r="B26" i="27"/>
  <c r="D18" i="20" l="1"/>
  <c r="D10" i="28"/>
  <c r="C19" i="28" s="1"/>
  <c r="H45" i="19"/>
  <c r="T42" i="19"/>
  <c r="M45" i="19"/>
  <c r="L45" i="19"/>
  <c r="E45" i="19"/>
  <c r="D45" i="19"/>
  <c r="O45" i="19"/>
  <c r="Q45" i="19"/>
  <c r="C45" i="19"/>
  <c r="K45" i="19"/>
  <c r="F10" i="28"/>
  <c r="C21" i="28" s="1"/>
  <c r="D23" i="28" s="1"/>
  <c r="T32" i="19"/>
  <c r="J45" i="19"/>
  <c r="E27" i="26"/>
  <c r="E28" i="26" s="1"/>
  <c r="P10" i="29"/>
  <c r="H32" i="20"/>
  <c r="I45" i="19"/>
  <c r="Q10" i="29"/>
  <c r="S45" i="19"/>
  <c r="J10" i="29"/>
  <c r="J14" i="29"/>
  <c r="G10" i="28"/>
  <c r="C22" i="28" s="1"/>
  <c r="G45" i="19"/>
  <c r="L7" i="24"/>
  <c r="D19" i="24" s="1"/>
  <c r="F19" i="24" s="1"/>
  <c r="P45" i="19"/>
  <c r="O10" i="29"/>
  <c r="T15" i="19"/>
  <c r="T38" i="19"/>
  <c r="H33" i="20"/>
  <c r="F45" i="19"/>
  <c r="T41" i="19"/>
  <c r="D125" i="19"/>
  <c r="O125" i="19" s="1"/>
  <c r="E100" i="19" s="1"/>
  <c r="C160" i="19" s="1"/>
  <c r="D109" i="19"/>
  <c r="M109" i="19" s="1"/>
  <c r="E121" i="19"/>
  <c r="N121" i="19" s="1"/>
  <c r="E99" i="19" s="1"/>
  <c r="C159" i="19" s="1"/>
  <c r="E117" i="19"/>
  <c r="N117" i="19" s="1"/>
  <c r="G129" i="19"/>
  <c r="T43" i="19"/>
  <c r="N45" i="19"/>
  <c r="R45" i="19"/>
  <c r="D16" i="24"/>
  <c r="F16" i="24" s="1"/>
  <c r="D12" i="24"/>
  <c r="F12" i="24" s="1"/>
  <c r="D24" i="24"/>
  <c r="F24" i="24" s="1"/>
  <c r="D10" i="24"/>
  <c r="F10" i="24" s="1"/>
  <c r="D14" i="24"/>
  <c r="F14" i="24" s="1"/>
  <c r="D22" i="24"/>
  <c r="F22" i="24" s="1"/>
  <c r="D18" i="24"/>
  <c r="F18" i="24" s="1"/>
  <c r="D15" i="24"/>
  <c r="F15" i="24" s="1"/>
  <c r="D29" i="24"/>
  <c r="F29" i="24" s="1"/>
  <c r="D28" i="24"/>
  <c r="F28" i="24" s="1"/>
  <c r="H36" i="20"/>
  <c r="H31" i="20"/>
  <c r="H35" i="20"/>
  <c r="E56" i="29"/>
  <c r="E57" i="29"/>
  <c r="H34" i="20"/>
  <c r="B28" i="27"/>
  <c r="B30" i="27" s="1"/>
  <c r="G60" i="20"/>
  <c r="D27" i="24" l="1"/>
  <c r="F27" i="24" s="1"/>
  <c r="D26" i="24"/>
  <c r="F26" i="24" s="1"/>
  <c r="H47" i="19"/>
  <c r="H37" i="20"/>
  <c r="D17" i="24"/>
  <c r="F17" i="24" s="1"/>
  <c r="D20" i="24"/>
  <c r="F20" i="24" s="1"/>
  <c r="D23" i="24"/>
  <c r="F23" i="24" s="1"/>
  <c r="D21" i="24"/>
  <c r="F21" i="24" s="1"/>
  <c r="N10" i="29"/>
  <c r="D9" i="24"/>
  <c r="F9" i="24" s="1"/>
  <c r="D11" i="24"/>
  <c r="F11" i="24" s="1"/>
  <c r="D13" i="24"/>
  <c r="F13" i="24" s="1"/>
  <c r="D25" i="24"/>
  <c r="F25" i="24" s="1"/>
  <c r="R47" i="19"/>
  <c r="Q47" i="19"/>
  <c r="E97" i="19"/>
  <c r="C157" i="19" s="1"/>
  <c r="C113" i="19"/>
  <c r="E113" i="19" s="1"/>
  <c r="E96" i="19" s="1"/>
  <c r="C129" i="19"/>
  <c r="K129" i="19" s="1"/>
  <c r="E101" i="19" s="1"/>
  <c r="C161" i="19" s="1"/>
  <c r="J47" i="19"/>
  <c r="E20" i="28"/>
  <c r="E19" i="28"/>
  <c r="E22" i="28"/>
  <c r="E21" i="28"/>
  <c r="E98" i="19"/>
  <c r="C158" i="19" s="1"/>
  <c r="B143" i="19"/>
  <c r="F143" i="19" s="1"/>
  <c r="F47" i="19"/>
  <c r="G47" i="19"/>
  <c r="K47" i="19"/>
  <c r="T45" i="19"/>
  <c r="E23" i="28" l="1"/>
  <c r="E24" i="28" s="1"/>
  <c r="T47" i="19"/>
  <c r="D148" i="19"/>
  <c r="D149" i="19" s="1"/>
  <c r="B162" i="19" s="1"/>
  <c r="C162" i="19"/>
  <c r="C156" i="19"/>
  <c r="E102" i="19"/>
  <c r="F100" i="19" l="1"/>
  <c r="G100" i="19" s="1"/>
  <c r="B160" i="19" s="1"/>
  <c r="F96" i="19"/>
  <c r="G96" i="19" s="1"/>
  <c r="B156" i="19" s="1"/>
  <c r="F99" i="19"/>
  <c r="G99" i="19" s="1"/>
  <c r="B159" i="19" s="1"/>
  <c r="F98" i="19"/>
  <c r="G98" i="19" s="1"/>
  <c r="B158" i="19" s="1"/>
  <c r="F97" i="19"/>
  <c r="G97" i="19" s="1"/>
  <c r="B157" i="19" s="1"/>
  <c r="F101" i="19"/>
  <c r="G101" i="19" s="1"/>
  <c r="B161" i="19" s="1"/>
  <c r="C163" i="19" l="1"/>
</calcChain>
</file>

<file path=xl/sharedStrings.xml><?xml version="1.0" encoding="utf-8"?>
<sst xmlns="http://schemas.openxmlformats.org/spreadsheetml/2006/main" count="1495" uniqueCount="671">
  <si>
    <t>Molar ratio</t>
  </si>
  <si>
    <t>Galactose</t>
  </si>
  <si>
    <t>Average</t>
  </si>
  <si>
    <t>mmol/g peptidoglycan</t>
  </si>
  <si>
    <t>N-acetylmuramic acid</t>
  </si>
  <si>
    <t>N-acetylglucosamine</t>
  </si>
  <si>
    <t>Diaminopimelinic acid</t>
  </si>
  <si>
    <t>NAD</t>
  </si>
  <si>
    <t>mmol/g RNA</t>
  </si>
  <si>
    <t>mRNA</t>
  </si>
  <si>
    <t>rRNA</t>
  </si>
  <si>
    <t>tRNA</t>
  </si>
  <si>
    <t>mmol/g DNA</t>
  </si>
  <si>
    <t>dAMP</t>
  </si>
  <si>
    <t>dCMP</t>
  </si>
  <si>
    <t>dGMP</t>
  </si>
  <si>
    <t>dTMP</t>
  </si>
  <si>
    <t>Glycine</t>
  </si>
  <si>
    <t>Phosphatidylethanolamine</t>
  </si>
  <si>
    <t>Phosphatidylglycerol</t>
  </si>
  <si>
    <t>D-glutamate</t>
  </si>
  <si>
    <t>UMP</t>
  </si>
  <si>
    <t>CMP</t>
  </si>
  <si>
    <t>GMP</t>
  </si>
  <si>
    <t>Cardiolipin</t>
  </si>
  <si>
    <t>AMP</t>
  </si>
  <si>
    <t>Component</t>
  </si>
  <si>
    <t>Organism</t>
  </si>
  <si>
    <t>Cell wall</t>
  </si>
  <si>
    <t>Ash</t>
  </si>
  <si>
    <t>Amino acid</t>
  </si>
  <si>
    <t>mmol/g protein</t>
  </si>
  <si>
    <t>Alanine</t>
  </si>
  <si>
    <t>Serine</t>
  </si>
  <si>
    <t>DNA</t>
  </si>
  <si>
    <t>RNA</t>
  </si>
  <si>
    <t>ATP</t>
  </si>
  <si>
    <t>iC15</t>
  </si>
  <si>
    <t>aC15</t>
  </si>
  <si>
    <t>pentosaceum</t>
  </si>
  <si>
    <t>17:0 Br</t>
  </si>
  <si>
    <t>AVERAGE</t>
  </si>
  <si>
    <t>Phosphatidylinositol</t>
  </si>
  <si>
    <t>Phospholipids</t>
  </si>
  <si>
    <t>mmol/g</t>
  </si>
  <si>
    <t xml:space="preserve"> </t>
  </si>
  <si>
    <t>Lipids</t>
  </si>
  <si>
    <t>MW</t>
  </si>
  <si>
    <t>L-Alanine</t>
  </si>
  <si>
    <t>References:</t>
  </si>
  <si>
    <t>PROTEIN</t>
  </si>
  <si>
    <t>Glycolipid</t>
  </si>
  <si>
    <t>Protein</t>
  </si>
  <si>
    <t>Lyso-phosphatidylinositol</t>
  </si>
  <si>
    <t>Acylphosphatidylglycerol</t>
  </si>
  <si>
    <t>Species average</t>
  </si>
  <si>
    <t>Relative amounts</t>
  </si>
  <si>
    <t>(acidipropionici)</t>
  </si>
  <si>
    <t>arabinosum</t>
  </si>
  <si>
    <t>shermanii</t>
  </si>
  <si>
    <t>jensenii</t>
  </si>
  <si>
    <t>Total</t>
  </si>
  <si>
    <t>Fatty acid species</t>
  </si>
  <si>
    <t>acidipropionici</t>
  </si>
  <si>
    <t>Overall average</t>
  </si>
  <si>
    <t>Unidentified</t>
  </si>
  <si>
    <t>Adjusted average composition of major species</t>
  </si>
  <si>
    <t>Species</t>
  </si>
  <si>
    <t>Proportion</t>
  </si>
  <si>
    <t>Proportional MW</t>
  </si>
  <si>
    <t>17:0 Br*</t>
  </si>
  <si>
    <t>Relative abundance</t>
  </si>
  <si>
    <t>Scaled abundance</t>
  </si>
  <si>
    <t>Stoichiometry</t>
  </si>
  <si>
    <t>Compound</t>
  </si>
  <si>
    <t>sn-glycerol-3P</t>
  </si>
  <si>
    <t>PPi</t>
  </si>
  <si>
    <t>Pi</t>
  </si>
  <si>
    <t>CTP</t>
  </si>
  <si>
    <t>H2O</t>
  </si>
  <si>
    <t>Glycerol</t>
  </si>
  <si>
    <t>Gluc-6-P</t>
  </si>
  <si>
    <t>Lysophophatidylinositol</t>
  </si>
  <si>
    <t>H+</t>
  </si>
  <si>
    <t>CO2</t>
  </si>
  <si>
    <t>Glycerophosphoglycerol</t>
  </si>
  <si>
    <t>Proportions (molar)</t>
  </si>
  <si>
    <t>The sole glycolipid has been identified as diacylinositol mannoside (Shaw and Dinglinger, 1969). It was assumed biosynthesis occurred through GDP-mannose bonding to phosphatidylinositol</t>
  </si>
  <si>
    <t>GDP-mannose</t>
  </si>
  <si>
    <t>GDP</t>
  </si>
  <si>
    <t>Diacylinositol mannoside</t>
  </si>
  <si>
    <t>mmol/g phospholipid</t>
  </si>
  <si>
    <t>Therefore 1 g of glycolipids is:</t>
  </si>
  <si>
    <t>mmol</t>
  </si>
  <si>
    <t>mmol/g total lipid</t>
  </si>
  <si>
    <t>Therefore in 1 g lipids, glycolipid:</t>
  </si>
  <si>
    <t>Overall lipid equation:</t>
  </si>
  <si>
    <t>Lipid component</t>
  </si>
  <si>
    <t>Total (g)</t>
  </si>
  <si>
    <t>Peptidoglycan</t>
  </si>
  <si>
    <t>Lipomannan</t>
  </si>
  <si>
    <t>Polysaccharide</t>
  </si>
  <si>
    <t>Avidum</t>
  </si>
  <si>
    <t>acnes</t>
  </si>
  <si>
    <t>granulosum</t>
  </si>
  <si>
    <t>Membrane</t>
  </si>
  <si>
    <t>20% cell dry weight</t>
  </si>
  <si>
    <t>0.72% cell dry weight</t>
  </si>
  <si>
    <t>% lipomannan in the membrane?</t>
  </si>
  <si>
    <t>Cell DW 100</t>
  </si>
  <si>
    <t>Mem</t>
  </si>
  <si>
    <t>Lip</t>
  </si>
  <si>
    <t>Glucose</t>
  </si>
  <si>
    <t>N-acetyl-galactosamine</t>
  </si>
  <si>
    <t>Mannose</t>
  </si>
  <si>
    <t>g/mol</t>
  </si>
  <si>
    <t>mmol/g polysaccharide</t>
  </si>
  <si>
    <t>2,3-diacetamido-2,3-dideoxy-α-D-mannuronate</t>
  </si>
  <si>
    <t>mmol/g lipomannan</t>
  </si>
  <si>
    <t>The cell wall is modelled as the composition of three structures, the peptidoglycan, lipomannan and polysaccharide. Only the lipomannan has been measured as a proportion of the cell dry weight at 0.72% (Sutcliffe and Shaw, 1989). Studies of the cell wall composition allow estimation of the relative proportions of peptidoglycan and carbohydrates; by estimating the weight % of peptidoglycan from DAP in the work of Allsop and Work (1962) and the relative weight percentage of carbohydrate we get approximately 36% carbohydrate by weight. Similarly we calculated the mass of peptidoglycan from the work of Kamisango et al. (1992) and scaled this with the mass of carbohydrate recovered, geting a value of 29% weight carbohydrate. Therefore we estimate the total carbohydrate content (including lipomannan) as 32.5%.</t>
  </si>
  <si>
    <t>Weight %</t>
  </si>
  <si>
    <t>*0.72% total dry weight</t>
  </si>
  <si>
    <t>*32% total carbohydrate weight estimated from 2 data sources</t>
  </si>
  <si>
    <t>*67.5% weight estimated from 2 data sources</t>
  </si>
  <si>
    <t>Overall equation</t>
  </si>
  <si>
    <t>For 1 g of cell wall</t>
  </si>
  <si>
    <t>0.675 g peptidoglycan</t>
  </si>
  <si>
    <t>0.036 g lipomannan</t>
  </si>
  <si>
    <t>0.289 g polysaccharide</t>
  </si>
  <si>
    <t>We have assumed that lipomannan is present in all species, although it has not been demonstrated to occur outside of P. shermanii. The measurements of P. shermanii by Sutcliffe and Shaw (1989) have been used to approximate the composition of lipomannan in the cell at 0.72% cell dry weight. As such, the composition of the cell wall (20% dry weight) of lipomannan is 3.6% by weight. The lipomannan is anchored by phosphatidylinositol and is composed of a mannan of approximately 30 mannose residues and is thought to be synthesised from GDP-mannose</t>
  </si>
  <si>
    <t>*As no distinction between the iso and anteiso forms has been made in the publication, we have assumed an equimolar split</t>
  </si>
  <si>
    <t xml:space="preserve">  </t>
  </si>
  <si>
    <t>&lt;-&gt;</t>
  </si>
  <si>
    <t>c0</t>
  </si>
  <si>
    <t>Unknown</t>
  </si>
  <si>
    <t>None</t>
  </si>
  <si>
    <t>-&gt;</t>
  </si>
  <si>
    <t>Fatty acid ACP</t>
  </si>
  <si>
    <t>ACP</t>
  </si>
  <si>
    <t>rxn05329_c0</t>
  </si>
  <si>
    <t>(3R)-3-Hydroxybutanoyl-[acyl-carrier-protein] hydro-lyase_c0</t>
  </si>
  <si>
    <t>(1) cpd11478[c0] &lt;-&gt; (1) cpd00001[c0] + (1) cpd11465[c0]</t>
  </si>
  <si>
    <t>|(R)-3-Hydroxybutanoyl-[acyl-carrier protein]| &lt;=&gt; |H2O| + |But-2-enoyl-[acyl-carrier protein]|</t>
  </si>
  <si>
    <t>rxn05330_c0</t>
  </si>
  <si>
    <t>(1) cpd11479[c0] &lt;-&gt; (1) cpd00001[c0] + (1) cpd11473[c0]</t>
  </si>
  <si>
    <t>|D-3-Hydroxyhexanoyl-[acp]| &lt;=&gt; |H2O| + |(2E)-Hexenoyl-[acp]|</t>
  </si>
  <si>
    <t>rxn05334_c0</t>
  </si>
  <si>
    <t>(1) cpd11483[c0] &lt;-&gt; (1) cpd11471[c0] + (1) cpd00001[c0]</t>
  </si>
  <si>
    <t>|(R)-3-Hydroxyoctanoyl-[acyl-carrier protein]| &lt;=&gt; |H2O| + |(2E)-Octenoyl-[acp]|</t>
  </si>
  <si>
    <t>rxn05333_c0</t>
  </si>
  <si>
    <t>(1) cpd11482[c0] &lt;-&gt; (1) cpd11475[c0] + (1) cpd00001[c0]</t>
  </si>
  <si>
    <t>|(R)-3-Hydroxydecanoyl-[acyl-carrier protein]| &lt;=&gt; |H2O| + |(2E)-Decenoyl-[acp]|</t>
  </si>
  <si>
    <t>rxn05331_c0</t>
  </si>
  <si>
    <t>(1) cpd11480[c0] &lt;-&gt; (1) cpd00001[c0] + (1) cpd11469[c0]</t>
  </si>
  <si>
    <t>|D-3-Hydroxydodecanoyl-[acp]| &lt;=&gt; |H2O| + |(2E)-Dodecenoyl-[acp]|</t>
  </si>
  <si>
    <t>rxn05335_c0</t>
  </si>
  <si>
    <t>(3R)-3-Hydroxypalmitoyl-[acyl-carrier-protein] hydro-lyase_c0</t>
  </si>
  <si>
    <t>(1) cpd11484[c0] &lt;-&gt; (1) cpd11467[c0] + (1) cpd00001[c0]</t>
  </si>
  <si>
    <t>|HMA| &lt;=&gt; |H2O| + |(2E)-Tetradecenoyl-[acp]|</t>
  </si>
  <si>
    <t>rxn05332_c0</t>
  </si>
  <si>
    <t>(1) cpd11481[c0] &lt;-&gt; (1) cpd00001[c0] + (1) cpd11477[c0]</t>
  </si>
  <si>
    <t>|R-3-hydroxypalmitoyl-acyl-carrierprotein-| &lt;=&gt; |H2O| + |(2E)-Hexadecenoyl-[acp]|</t>
  </si>
  <si>
    <t>rxn13451_c0</t>
  </si>
  <si>
    <t>Elongation-1-for-alpha-meroacid_c0</t>
  </si>
  <si>
    <t>(3) cpd00067[c0] + (1) cpd00005[c0] + (1) cpd15930[c0] + (1) cpd00004[c0] + (1) cpd11492[c0] &lt;-&gt; (1) cpd00003[c0] + (1) cpd11493[c0] + (1) cpd00006[c0] + (1) cpd16909[c0] + (1) cpd00001[c0] + (1) cpd00011[c0]</t>
  </si>
  <si>
    <t>|NADH| + |NADPH| + (3) |H+| + |Malonyl-acyl-carrierprotein-| + |eicosanoyl-ACP| &lt;=&gt; |H2O| + |NAD| + |NADP| + |CO2| + |ACP| + |docosanoyl-ACP|</t>
  </si>
  <si>
    <t>|NADH| + |NADPH| + (3) |H+| + |Malonyl-acyl-carrierprotein-| + |Octodecanoyl-ACP| &lt;=&gt; |H2O| + |NAD| + |NADP| + |CO2| + |ACP| + |eicosanoyl-ACP|</t>
  </si>
  <si>
    <t>(3) cpd00067[c0] + (1) cpd00005[c0] + (1) cpd11573[c0] + (1) cpd00004[c0] + (1) cpd11492[c0] &lt;-&gt; (1) cpd00003[c0] + (1) cpd11493[c0] + (1) cpd00006[c0] + (1) cpd15930[c0] + (1) cpd00001[c0] + (1) cpd00011[c0]</t>
  </si>
  <si>
    <t>henicosanoyl-ACP</t>
  </si>
  <si>
    <t>Fatty-acid ACP</t>
  </si>
  <si>
    <t>12-methyl-tetra-decanoyl-ACP</t>
  </si>
  <si>
    <t>13-methyl-tetra-decanoyl-ACP</t>
  </si>
  <si>
    <t>hexadecanoyl-acp</t>
  </si>
  <si>
    <t>14-methyl-hexa-decanoyl-ACP</t>
  </si>
  <si>
    <t>15-methyl-hexa-decanoyl-ACP</t>
  </si>
  <si>
    <t>docosanoyl-ACP</t>
  </si>
  <si>
    <t>cpd11540</t>
  </si>
  <si>
    <t>cpd11515</t>
  </si>
  <si>
    <t>12-methyl-tridecanoyl-ACP</t>
  </si>
  <si>
    <t>rxn13669_c0</t>
  </si>
  <si>
    <t>b-ketoacyl synthetase (C15:0)_c0</t>
  </si>
  <si>
    <t>(15) cpd00067[c0] + (1) cpd17010[c0] + (10) cpd00005[c0] + (5) cpd11492[c0] &lt;-&gt; (10) cpd00006[c0] + (5) cpd11493[c0] + (5) cpd00001[c0] + (5) cpd00011[c0] + (1) cpd17029[c0]</t>
  </si>
  <si>
    <t>(10) |NADPH| + (15) |H+| + (5) |Malonyl-acyl-carrierprotein-| + |Fatty Acid (n-C5:0 ACP)| &lt;=&gt; (5) |H2O| + (10) |NADP| + (5) |CO2| + (5) |ACP| + |pentadecanoyl-ACP (n-C15:0ACP)|</t>
  </si>
  <si>
    <t>propionyl-CoA:[acyl-carrier-protein] S-acetyltransferase_c0</t>
  </si>
  <si>
    <t>|Propionyl-CoA| + |ACP| &lt;=&gt; |CoA| + |Propionyl-ACP|</t>
  </si>
  <si>
    <t>Propionyl-[acyl-carrier-protein]:malonyl-[acyl-carrier-protein]_c0</t>
  </si>
  <si>
    <t>|H+| + |Malonyl-acyl-carrierprotein-| + |Propionyl-ACP| =&gt; |CO2| + |Fatty Acid (n-C5:0 ACP)| + |ACP|</t>
  </si>
  <si>
    <t>|NADH| + |NADPH| + (3) |H+| + |Malonyl-acyl-carrierprotein-| + |pentadecanoyl-ACP (n-C15:0ACP)| &lt;=&gt; |H2O| + |NAD| + |NADP| + |CO2| + |ACP| + |henicosanoyl-ACP|</t>
  </si>
  <si>
    <t>(9) cpd00067[c0] + (3) cpd00005[c0] + (1) cpd17029[c0] + (3) cpd00004[c0] + (3) cpd11492[c0] &lt;-&gt; (3) cpd00003[c0] + (3) cpd11493[c0] + (3) cpd00006[c0] + (1) cpdnewXX[c0] + (3) cpd00001[c0] + (3) cpd00011[c0]</t>
  </si>
  <si>
    <t>cpd16909</t>
  </si>
  <si>
    <t>cpd11519</t>
  </si>
  <si>
    <t>cpd11544</t>
  </si>
  <si>
    <t>cpd11476</t>
  </si>
  <si>
    <t>cpd11565</t>
  </si>
  <si>
    <t>Generalised fatty acyl-ACP equation</t>
  </si>
  <si>
    <t>New compounds</t>
  </si>
  <si>
    <t>cpdnew08</t>
  </si>
  <si>
    <t>cpdnew09</t>
  </si>
  <si>
    <t>cpdnew10</t>
  </si>
  <si>
    <t>Propionyl-ACP</t>
  </si>
  <si>
    <t>Henicosanoyl-ACP</t>
  </si>
  <si>
    <t>average fatty acyl-ACP</t>
  </si>
  <si>
    <t>(0.2775) |13-methyl-tetra-decanoyl-ACP| + (0.2967) |12-methyl-tetra-decanoyl-ACP| + (0.0096) |12-methyl-tridecanoyl-ACP| + (0.0776) |hexadecanoyl-acp| + (0.0476) |15-methyl-hexa-decanoyl-ACP| + (0.0476) |14-methyl-hexa-decanoyl-ACP| + (0.0702) |henicosanoyl-ACP| + (0.0868) |docosanoyl-ACP|-&gt; (1) |average fatty acyl-ACP|</t>
  </si>
  <si>
    <t>(0.2775) cpd11540[c0] + (0.2967) cpd11515[c0] + (0.0096) cpd11565[c0] + (0.0776) cpd11476[c0] + (0.0476) cpd11544[c0] + (0.0476) cpd11519[c0] + (0.0702) cpdnew09[c0] + (0.0868) cpd16909[c0]-&gt; (1) cpdnew10[c0]</t>
  </si>
  <si>
    <t>(1) cpd00067[c0] + (1) cpd11492[c0] + (1) cpdnew08[c0] -&gt; (1) cpd11493[c0] + (1) cpd00011[c0] + (1) cpd17010[c0]</t>
  </si>
  <si>
    <t>(1) cpd11493[c0] + (1) cpd00086[c0] &lt;-&gt; (1) cpd00010[c0] + (1) cpdnew08[c0]</t>
  </si>
  <si>
    <t>rxnnew43_c0</t>
  </si>
  <si>
    <t>rxnnew44_c0</t>
  </si>
  <si>
    <t>rxnnew45_c0</t>
  </si>
  <si>
    <t>rxnnew46_c0</t>
  </si>
  <si>
    <t>rxnnew47_c0</t>
  </si>
  <si>
    <t>Synthesis equations and MW calculation (it is assumed that fatty acids are bound in the activated (ACP-bound) form)</t>
  </si>
  <si>
    <t>cpd00002</t>
  </si>
  <si>
    <t>cpd00052</t>
  </si>
  <si>
    <t>cpd00001</t>
  </si>
  <si>
    <t>cpd00012</t>
  </si>
  <si>
    <t>cpd00009</t>
  </si>
  <si>
    <t>cpdnew11</t>
  </si>
  <si>
    <t>Avg. Phosphatidylglycerol</t>
  </si>
  <si>
    <t>rxnnew48</t>
  </si>
  <si>
    <t>Phosphatidylglycerol synthesis equation</t>
  </si>
  <si>
    <t>(2) cpd00080 + (2) cpdnew10 + (2) cpd00002 + (1) cpd00052 + (1) cpd00001 =&gt; (2) cpd00018 + (3) cpd00012 + (1) cpd00009 + (1) cpd00046 + (1) cpd11493 + (1) cpdnew11</t>
  </si>
  <si>
    <t>(2) |Glycerol-3-phosphate| + (2) |average fatty acyl-ACP| + (2) |ATP| + (1) |CTP| + (1) |H2O| =&gt; (2) |AMP| + (3) |PPi| + (1) |Pi| + (1) |CMP| + (1) |ACP| + (1) |Avg. Phosphatidylglycerol|</t>
  </si>
  <si>
    <t>cpdnew12</t>
  </si>
  <si>
    <t>Avg, Cardiolipin</t>
  </si>
  <si>
    <t>rxnnew49</t>
  </si>
  <si>
    <t>Cardiolipin synthesis equation</t>
  </si>
  <si>
    <t>(2) cpdnew11 =&gt; (1) cpd00100 + (1) cpdnew12</t>
  </si>
  <si>
    <t>(1) |Avg. Phosphatidylglycerol| =&gt; (1) |Glycerol| + (1) |Avg. Cardiolipin|</t>
  </si>
  <si>
    <t>cpdnew13</t>
  </si>
  <si>
    <t>Avg. Phosphatidylinositol</t>
  </si>
  <si>
    <t>rxnnew50</t>
  </si>
  <si>
    <t>Phosphatidylinositol synthesis equation</t>
  </si>
  <si>
    <t>(1) |beta-D-Glucose 6-phosphate| + (1) |Glycerol-3-phosphate| + (2) |average fatty acyl-ACP| + (2) |ATP| + (1) |CTP| + (1) |H2O| =&gt; (2) |AMP| + (3) |PPi| + (1) |Pi| + (1) |CMP| + (1) |ACP| + (1) |Avg. Phosphatidylinositol|</t>
  </si>
  <si>
    <t>(1) cpd00863 + (1) cpd00080 + (2) cpdnew10 + (2) cpd00002 + (1) cpd00052 + (1) cpd00001 =&gt; (2) cpd00018 + (3) cpd00012 + (1) cpd00009 + (1) cpd00046 + (1) cpd11493 + (1) cpdnew13</t>
  </si>
  <si>
    <t>Lysophosphatidylinositol synthesis</t>
  </si>
  <si>
    <t>cpdnew14</t>
  </si>
  <si>
    <t>Avg. Lysophosphatidylinositol</t>
  </si>
  <si>
    <t>(1) cpd00863 + (1) cpd00080 + (1) cpdnew10 + (1) cpd00002 + (1) cpd00052 + (1) cpd00001 =&gt; (1) cpd00018 + (2) cpd00012 + (1) cpd00009 + (1) cpd00046 + (1) cpd11493 + (1) cpdnew11</t>
  </si>
  <si>
    <t>(1) |beta-D-Glucose 6-phosphate| + (1) |Glycerol-3-phosphate| + (1) |average fatty acyl-ACP| + (1) |ATP| + (1) |CTP| + (1) |H2O| =&gt; (1) |AMP| + (2) |PPi| + (1) |Pi| + (1) |CMP| + (1) |ACP| + (1) |Avg. Lysophosphatidylinositol|</t>
  </si>
  <si>
    <t>rxnnew51</t>
  </si>
  <si>
    <t>cpd00011</t>
  </si>
  <si>
    <t>cpdnew15</t>
  </si>
  <si>
    <t>Avg. Phosphatidylethanolamine</t>
  </si>
  <si>
    <t>cpd00054</t>
  </si>
  <si>
    <t>rxnnew52</t>
  </si>
  <si>
    <t>Phosphatidylethanolamine synthesis</t>
  </si>
  <si>
    <t>(1) cpd00080 + (2) cpdnew10 + (2) cpd00002 + (1) cpd00052 + (1) cpd00001 + (2) cpd00054 =&gt; (2) cpd00018 + (3) cpd00012 + (1) cpd00009 + (1) cpd00046 + (1) cpd00011 + (1) cpd11493 + (1) cpdnew15</t>
  </si>
  <si>
    <t>(1) |Glycerol-3-phosphate| + (2) |average fatty acyl-ACP| + (2) |ATP| + (1) |CTP| + (1) |H2O| + (1) |L-Serine| =&gt; (2) |AMP| + (3) |PPi| + (1) |Pi| + (1) |CMP| + (1) |CO2| + (1) |ACP| + (1) |Avg. Phosphatidylethanolamine|</t>
  </si>
  <si>
    <t>cpd00067</t>
  </si>
  <si>
    <t>cpdnew16</t>
  </si>
  <si>
    <t>Avg. Acylphosphatidylglycerol</t>
  </si>
  <si>
    <t>Acylphosphatidylglycerol (we have incorporated the recycling of the fatty acid hydrolysed to the ACP-active form in this equation)</t>
  </si>
  <si>
    <t>rxnnew53</t>
  </si>
  <si>
    <t>Acylphosphatidylglycerol synthesis</t>
  </si>
  <si>
    <t>(2) cpdnew11 + (1) cpd00001 + (1) cpd00002 + (1) cpd11493 =&gt; (1) cpdnew10 + (1) cpd00018 + (1) cpd00012 + (1) cpd02090 + (1) cpdnew16</t>
  </si>
  <si>
    <t>(2) |Avg. Phosphatidylglycerol| + (1) |H2O| + (1) |ATP| + (1) |ACP| =&gt; (1) |average fatty acyl-ACP| + (1) |AMP| + (1) |PPi| + (1) |Glycerophosphoglycerol| + (1) |Avg. Acylphosphatidylglycerol|</t>
  </si>
  <si>
    <t>cpd00083</t>
  </si>
  <si>
    <t>cpd00031</t>
  </si>
  <si>
    <t>cpdnew17</t>
  </si>
  <si>
    <t>rxnnew54</t>
  </si>
  <si>
    <t>Diacylisonisotl mannoside synthesis</t>
  </si>
  <si>
    <t>|Avg. Phosphatidylinositol| + |GDP-mannose| =&gt; |GDP| + |H+| + |Avg. Diacylinositol mannoside|</t>
  </si>
  <si>
    <t>rxnnew55</t>
  </si>
  <si>
    <t>Overall lipid biosynthesis</t>
  </si>
  <si>
    <t>(0.086) cpdnew12[c0] + (0.057) cpdnew11[c0] + (0.057) cpdnew13[c0] + (0.029) cpdnew14[c0] + (0.029) cpdnew15[c0] + (0.057) cpdnew16 + (0.445) cpdnew17 =&gt; (1) cpdnew18[c0]</t>
  </si>
  <si>
    <t>cpdnew18</t>
  </si>
  <si>
    <t>Propionibacterium lipids</t>
  </si>
  <si>
    <t>(0.086) |Avg. Cardiolipin| + (0.057) |Avg. Phosphatidylglycerol| + (0.057) |Avg. Phosphatidylinositol| + (0.029) |Avg. Lysophosphatidylinositol| + (0.029) |Avg. Phosphatidylethanolamine| + (0.057) |Avg. Acylphosphatidylglycerol| + (0.445) |Avg. Diacylinositol mannoside| =&gt; (1) |Propionibacterium lipid|</t>
  </si>
  <si>
    <t>Avg. Diacylinositol mannoside</t>
  </si>
  <si>
    <t>(1) cpdnew14[c0] + (1) cpd00083[c0] =&gt; (1) cpd00031[c0] + (1) cpd00067[c0] + (1) cpdnew17[c0]</t>
  </si>
  <si>
    <t>Added reactions (from database)</t>
  </si>
  <si>
    <t>Added reactions (self-generated)</t>
  </si>
  <si>
    <t>rxn00298_c0</t>
  </si>
  <si>
    <t>UDP-N-acetyl-D-glucosamine:NAD+ 6-oxidoreductase_c0</t>
  </si>
  <si>
    <t>(1) cpd00001[c0] + (2) cpd00003[c0] + (1) cpd00037[c0] &lt;-&gt; (3) cpd00067[c0] + (2) cpd00004[c0] + (1) cpd02782[c0]</t>
  </si>
  <si>
    <t>|H2O| + (2) |NAD| + |UDP-N-acetylglucosamine| &lt;=&gt; (2) |NADH| + (3) |H+| + |UDP-N-acetyl-D-glucosaminouronate|</t>
  </si>
  <si>
    <t>NADH</t>
  </si>
  <si>
    <t>CoA</t>
  </si>
  <si>
    <t>UDP-N-acetyl-D-glucosaminouronate</t>
  </si>
  <si>
    <t>UDP-2,3-diacetamido-2,3-dideoxy-D-mannuronate</t>
  </si>
  <si>
    <t>cpdnew19</t>
  </si>
  <si>
    <t>cpd02782</t>
  </si>
  <si>
    <t>cpd00003</t>
  </si>
  <si>
    <t>cpd00023</t>
  </si>
  <si>
    <t>cpd00022</t>
  </si>
  <si>
    <t>Acetyl-CoA</t>
  </si>
  <si>
    <t>cpd00024</t>
  </si>
  <si>
    <t>cpd00004</t>
  </si>
  <si>
    <t>cpd00010</t>
  </si>
  <si>
    <t>rxnnew56</t>
  </si>
  <si>
    <t>(1) cpd02782[c0] + (1) cpd00003[c0] + (1) cpd00023[c0] + (1) cpd00022[c0] + (1) cpd00024[c0] =&gt; (1) cpd00004 + (2) cpd00067 + (1) cpd00010[c0] + (1) cpdnew19[c0]</t>
  </si>
  <si>
    <t>L-Glutamate</t>
  </si>
  <si>
    <t>2-Oxoglutarate</t>
  </si>
  <si>
    <t>(1) |UDP-N-acetyl-D-glucosaminouronate| + (1) |NAD| + (1) |L-Glutamate| + (1) |Acetyl-CoA| + (1) |2-Oxoglutarate| =&gt; (1) |NADH| + (2) |H+| + (1) |CoA| + (1) |UDP-2,3-diacetamido-2,3-dideoxy-D-mannuronate|</t>
  </si>
  <si>
    <t>Polysaccharide synthesis</t>
  </si>
  <si>
    <t>Added reactions</t>
  </si>
  <si>
    <t>New reactions</t>
  </si>
  <si>
    <t>cpd00175</t>
  </si>
  <si>
    <t>UDP-N-acetyl-D-galactosamine</t>
  </si>
  <si>
    <t>cpd00026</t>
  </si>
  <si>
    <t>UDP-glucose</t>
  </si>
  <si>
    <t>cpd00043</t>
  </si>
  <si>
    <t>UDP-galactose</t>
  </si>
  <si>
    <t>UDP-2,3-diacetamido-2,3-dideoxy-α-D-mannuronate synthesis</t>
  </si>
  <si>
    <t>rxnnew57</t>
  </si>
  <si>
    <t>UDP</t>
  </si>
  <si>
    <t>cpd00014</t>
  </si>
  <si>
    <t>cdp00067</t>
  </si>
  <si>
    <t>(1) cpd00043[c0] + (2) cpdnew19[c0] + (1) cpd00026[c0] + (1) cpd00175[c0] + (0.3) cpd00083[c0] =&gt; (1) cpdnew20[c0] + (5) cpd00014[c0] + (0.3) cpd00031[c0] + (5.3) cpd00067[c0]</t>
  </si>
  <si>
    <t>cpdnew20</t>
  </si>
  <si>
    <t>(1) UDP-galactose + (2) UDP-2,3-diacetamido-2,3-dideoxy-D-mannuronate + (1) UDP-glucose + (1) UDP-N-acetyl-D-galactosamine + (0.3) GDP-mannose =&gt; (1) Polysaccharide + (5) UDP + (0.3) GDP + (5.3) H+</t>
  </si>
  <si>
    <t>cpdnew21</t>
  </si>
  <si>
    <t>Lipomannan synthesis</t>
  </si>
  <si>
    <t>(30) cpd00083[c0] =&gt; (30) cpd00031[c0] + (30) cpd00067[c0] + (1) cpdnew21[c0]</t>
  </si>
  <si>
    <t>(1) |UDP-galactose| + (2) |UDP-2,3-diacetamido-2,3-dideoxy-D-mannuronate| + (1) |UDP-glucose| + (1) |UDP-N-acetyl-D-galactosamine| + (0.3) |GDP-mannose| =&gt; (1) |Polysaccharide| + (5) |UDP| + (0.3) |GDP| + (5.3) |H+|</t>
  </si>
  <si>
    <t>(30) |GDP-mannose| =&gt; (30) |GDP| + (30) |H+| + (1) |Lipomannan|</t>
  </si>
  <si>
    <t>ADP</t>
  </si>
  <si>
    <t>cpd00773</t>
  </si>
  <si>
    <t>UDP-MurNAc</t>
  </si>
  <si>
    <t>cpd00037</t>
  </si>
  <si>
    <t>UDP-N-acetylglucosamine</t>
  </si>
  <si>
    <t>cpd00035</t>
  </si>
  <si>
    <t>cpd00504</t>
  </si>
  <si>
    <t>LL-2,6-Diaminopimelate</t>
  </si>
  <si>
    <t>cpd00186</t>
  </si>
  <si>
    <t>D-Glutamate</t>
  </si>
  <si>
    <t>cpd00033</t>
  </si>
  <si>
    <t>rxnnew48_c0</t>
  </si>
  <si>
    <t>rxnnew49_c0</t>
  </si>
  <si>
    <t>rxnnew50_c0</t>
  </si>
  <si>
    <t>rxnnew51_c0</t>
  </si>
  <si>
    <t>rxnnew52_c0</t>
  </si>
  <si>
    <t>rxnnew53_c0</t>
  </si>
  <si>
    <t>rxnnew54_c0</t>
  </si>
  <si>
    <t>rxnnew55_c0</t>
  </si>
  <si>
    <t>Peptidoglycan synthesis</t>
  </si>
  <si>
    <t>cpdnew22</t>
  </si>
  <si>
    <t>Propionibacterium peptidoglycan</t>
  </si>
  <si>
    <t>rxnnew59_c0</t>
  </si>
  <si>
    <t>Phosphate</t>
  </si>
  <si>
    <t xml:space="preserve">The relative abundance of L and D-alanine is important in determining the amount of energy wasted incoporating D-alanine into the peptidoglycan, which is incoporated as a di-amino acid and subsequently cleaved. </t>
  </si>
  <si>
    <t>Fraction of Alanine as L-Alanine</t>
  </si>
  <si>
    <t>Ala-Ala</t>
  </si>
  <si>
    <t>D-alanine[e]</t>
  </si>
  <si>
    <t>cpd00731</t>
  </si>
  <si>
    <t>cpd00117</t>
  </si>
  <si>
    <t>cpd00008</t>
  </si>
  <si>
    <t>(1.075) cpd00773[c0] + (1.017) cpd00037[c0] + (0.829) cpd00035[c0] + (0.361) cpd00731[c0] + (1.206) cpd00504[c0] + (1.16) cpd00186[c0] + (1.017) cpd00033[c0] + (5.103) cpd00002[c0] =&gt; (5.103) cpd00008[c0] + (5.103) cpd00009[c0] + (0.361) cpd00117[e0] + (1) cpdnew22[c0]</t>
  </si>
  <si>
    <t>(1.075) |UDP-MurNAc| + (1.017) |UDP-N-acetylglucosamine| + (0.829) |L-Alanine| + (0.361) |Ala-Ala| + (1.206) |LL-2,6-Diaminopimelate| + (1.16) |D-Glutamate| + (1.017) |Glycine| + (5.103) |ATP| =&gt; (5.103) |ADP| + (5.103) |Phosphate| + (1) |D-alanine[e]| + (1) |Propionibacterium peptidoglycan|</t>
  </si>
  <si>
    <t>Synthesis equations</t>
  </si>
  <si>
    <t>rxnnew56_c0</t>
  </si>
  <si>
    <t>rxnnew57_c0</t>
  </si>
  <si>
    <t>rxnnew58_c0</t>
  </si>
  <si>
    <t>rxnnew60_c0</t>
  </si>
  <si>
    <t>rxnnew61_c0</t>
  </si>
  <si>
    <t>2Fe2S iron sulfur cluster synthesis</t>
  </si>
  <si>
    <t>4Fe4S iron sulfur cluster synthesis</t>
  </si>
  <si>
    <t>FADH2</t>
  </si>
  <si>
    <t>Fe 2+</t>
  </si>
  <si>
    <t>Cys</t>
  </si>
  <si>
    <t>2Fe2S</t>
  </si>
  <si>
    <t>L-Ala</t>
  </si>
  <si>
    <t>|ATP|</t>
  </si>
  <si>
    <t>|FADH2|</t>
  </si>
  <si>
    <t>|Fe2+|</t>
  </si>
  <si>
    <t>|H2O|</t>
  </si>
  <si>
    <t>|L-Cysteine|</t>
  </si>
  <si>
    <t>|ADP|</t>
  </si>
  <si>
    <t>|Phosphate|</t>
  </si>
  <si>
    <t>|H+|</t>
  </si>
  <si>
    <t>|L-Alanine|</t>
  </si>
  <si>
    <t>|2Fe2S|</t>
  </si>
  <si>
    <t>cpdnew23</t>
  </si>
  <si>
    <t>|FAD|</t>
  </si>
  <si>
    <t>cpd00015</t>
  </si>
  <si>
    <t>cpd00084</t>
  </si>
  <si>
    <t>cpd00021</t>
  </si>
  <si>
    <t>cpd00982</t>
  </si>
  <si>
    <t>|4Fe4S|</t>
  </si>
  <si>
    <t>cpdnew24</t>
  </si>
  <si>
    <t>(1) cpd00002[c0] + (1) cpd00982[c0] + (2) cpd00021[c0] + (1) cpd00001[c0] + (2) cpd00084[c0] =&gt; (1) cpd00008[c0] + (1) cpd00009[c0] + (1) cpd00015[c0] + (3) cpd00067[c0] + (2) cpd00035[c0] + (1) cpdnew23[c0]</t>
  </si>
  <si>
    <t>(1) |ATP| + (1) |FADH2| + (2) |Fe2+| + (1) |H2O| + (2) |L-Cysteine| =&gt; (1) |ADP| + (1) |Phosphate| + (1) |FAD| + (3) |H+| + (2) |L-Alanine| + (1) |2Fe2S|</t>
  </si>
  <si>
    <t>(2) |ATP| + (3) |FADH2| + (4) |Fe2+| + (2) |H2O| + (4) |L-Cysteine| =&gt; (2) |ADP| + (2) |Phosphate| + (3) |FAD| + (8) |H+| + (4) |L-Alanine| + (1) |4Fe2S|</t>
  </si>
  <si>
    <t>(2) cpd00002[c0] + (3) cpd00982[c0] + (4) cpd00021[c0] + (2) cpd00001[c0] + (4) cpd00084[c0] =&gt; (2) cpd00008[c0] + (2) cpd00009[c0] + (3) cpd00015[c0] + (8) cpd00067[c0] + (4) cpd00035[c0] + (1) cpdnew24[c0]</t>
  </si>
  <si>
    <t>cpd00166</t>
  </si>
  <si>
    <t>rxn12376_c0</t>
  </si>
  <si>
    <t>transport of 4-hydroxybenzyl alcohol [extraorganism-cytosol](passive)_c0</t>
  </si>
  <si>
    <t>(1) cpd15378[e0] &lt;-&gt; (1) cpd15378[c0]</t>
  </si>
  <si>
    <t>|4-Hydroxy-benzylalcohol[e]| &lt;=&gt; |4-Hydroxy-benzylalcohol|</t>
  </si>
  <si>
    <t>To allow production of TPP</t>
  </si>
  <si>
    <t>Essential for all for Thiamine production</t>
  </si>
  <si>
    <t>Acnes and avidum to complete biotin synthesis pathway from externally provided pimelate, essential for others</t>
  </si>
  <si>
    <t>rxn02296_c0</t>
  </si>
  <si>
    <t>6-Carboxyhyxanoate:CoA ligase (AMP-forming)_c0</t>
  </si>
  <si>
    <t>(1) cpd00067[c0] + (1) cpd00002[c0] + (1) cpd00010[c0] + (1) cpd01727[c0] -&gt; (1) cpd00018[c0] + (1) cpd00782[c0] + (1) cpd00012[c0]</t>
  </si>
  <si>
    <t>|ATP| + |CoA| + |H+| + |Pimelate| =&gt; |PPi| + |AMP| + |Pimeloyl-CoA|</t>
  </si>
  <si>
    <t>avidum</t>
  </si>
  <si>
    <t>Propionibacterium_acnes_6609.CDS.2005</t>
  </si>
  <si>
    <t>Propionibacterium_avidum_44067.CDS.358</t>
  </si>
  <si>
    <t>rxnnew62_c0</t>
  </si>
  <si>
    <t>Pimelate transport</t>
  </si>
  <si>
    <t>(1) cpd01727[e0] + (1) cpd00067[e0] =&gt; (1) cpd01727[c0] + (1) cpd00067[c0]</t>
  </si>
  <si>
    <t>(1) |Pimelate[e]| + (1) |H+[e]| =&gt; (1) |Pimelate[e]| + (1) |H+[e]|</t>
  </si>
  <si>
    <t>|Geranyldiphosphate|</t>
  </si>
  <si>
    <t>|Isopentenyldiphosphate|</t>
  </si>
  <si>
    <t>|PPi|</t>
  </si>
  <si>
    <t>|CO2|</t>
  </si>
  <si>
    <t>|1,4-Dihydroxy-2-naphthoate|</t>
  </si>
  <si>
    <t>|S-Adenosyl-L-methionine|</t>
  </si>
  <si>
    <t>|S-Adenosyl-homocysteine|</t>
  </si>
  <si>
    <t>|NADPH|</t>
  </si>
  <si>
    <t>|NADP|</t>
  </si>
  <si>
    <t>cpdnew25</t>
  </si>
  <si>
    <t>cpd00019</t>
  </si>
  <si>
    <t>cpd02295</t>
  </si>
  <si>
    <t>cpd00017</t>
  </si>
  <si>
    <t>cpd00005</t>
  </si>
  <si>
    <t>cpd00006</t>
  </si>
  <si>
    <t>cpd00113</t>
  </si>
  <si>
    <t>cpd00283</t>
  </si>
  <si>
    <t>rxnnew63_c0</t>
  </si>
  <si>
    <t>Menaquinone-9(4H) biosynthesis</t>
  </si>
  <si>
    <t>(1) cpd00283[c0] + (7) cpd00113[c0] + (1) cpd02295[c0] + (1) cpd00017[c0] + (2) cpd00005[c0] =&gt; (2) cpd00006[c0] + (8) cpd00012[c0] + (1) cpd00011[c0] + (1) cpd00019[c0] + (1) cpdnew25[c0]</t>
  </si>
  <si>
    <t>Menaquinone 9(4H)  for all bacteria</t>
  </si>
  <si>
    <t>Small molecules fraction of biomass</t>
  </si>
  <si>
    <t>g/g DW</t>
  </si>
  <si>
    <t>ID</t>
  </si>
  <si>
    <t>cpd00056</t>
  </si>
  <si>
    <t>|TPP|</t>
  </si>
  <si>
    <t>cpd00220</t>
  </si>
  <si>
    <t>|Riboflavin|</t>
  </si>
  <si>
    <t>|NAD|</t>
  </si>
  <si>
    <t>|NADH|</t>
  </si>
  <si>
    <t>|CoA|</t>
  </si>
  <si>
    <t>cpd00016</t>
  </si>
  <si>
    <t>|Pyridoxal phosphate|</t>
  </si>
  <si>
    <t>cpd00104</t>
  </si>
  <si>
    <t>|BIOT|</t>
  </si>
  <si>
    <t>(biotin)</t>
  </si>
  <si>
    <t>cpd00201</t>
  </si>
  <si>
    <t>|10-Formyltetrahydrofolate|</t>
  </si>
  <si>
    <t>cpd00345</t>
  </si>
  <si>
    <t>|5-Methyltetrahydrofolate|</t>
  </si>
  <si>
    <t>cpd00125</t>
  </si>
  <si>
    <t>|5-10-Methylenetetrahydrofolate|</t>
  </si>
  <si>
    <t>cpd00087</t>
  </si>
  <si>
    <t>|Tetrahydrofolate|</t>
  </si>
  <si>
    <t>|Calomide|</t>
  </si>
  <si>
    <t>(Adenosylcobalamin)</t>
  </si>
  <si>
    <t>|Menaquinol-9(4H)|</t>
  </si>
  <si>
    <t>(1) |Geranyldiphosphate| + (7) |Isopentenyldiphosphate| + (1) |1,4-Dihydroxy-2-naphthoate| + (1) |S-Adenosyl-L-methionine| + (2) |NADPH| =&gt; (2) |NADP| + (8) |PPi| + (1) |CO2| + (1) |S-Adenosyl-homocysteine| + (1) |Menaquinol-9(4H)|</t>
  </si>
  <si>
    <t>cpd00557</t>
  </si>
  <si>
    <t>|Siroheme|</t>
  </si>
  <si>
    <t>|Heme|</t>
  </si>
  <si>
    <t>cpd00028</t>
  </si>
  <si>
    <t>cpd00013</t>
  </si>
  <si>
    <t>|NH3|</t>
  </si>
  <si>
    <t>cpd00099</t>
  </si>
  <si>
    <t>|Cl-|</t>
  </si>
  <si>
    <t>cpd00149</t>
  </si>
  <si>
    <t>|Co2+|</t>
  </si>
  <si>
    <t>cpd10516</t>
  </si>
  <si>
    <t>|fe3|</t>
  </si>
  <si>
    <t>|Mn2+|</t>
  </si>
  <si>
    <t>cpd00030</t>
  </si>
  <si>
    <t>cpd00254</t>
  </si>
  <si>
    <t>|Mg|</t>
  </si>
  <si>
    <t>|K+|</t>
  </si>
  <si>
    <t>cpd00205</t>
  </si>
  <si>
    <t>cpd00048</t>
  </si>
  <si>
    <t>|Sulfate|</t>
  </si>
  <si>
    <t>mmol/g CDW</t>
  </si>
  <si>
    <t>Fraction not accounted for by ions</t>
  </si>
  <si>
    <t>Small molecules synthesis equation</t>
  </si>
  <si>
    <t>cpdnew26</t>
  </si>
  <si>
    <t>Small molecules pool</t>
  </si>
  <si>
    <t>rxnnew64_c0</t>
  </si>
  <si>
    <t>Small molecule pool representation</t>
  </si>
  <si>
    <r>
      <t xml:space="preserve">In </t>
    </r>
    <r>
      <rPr>
        <i/>
        <sz val="10"/>
        <rFont val="Arial"/>
        <family val="2"/>
      </rPr>
      <t>acnes</t>
    </r>
    <r>
      <rPr>
        <sz val="10"/>
        <rFont val="Arial"/>
        <family val="2"/>
      </rPr>
      <t xml:space="preserve"> and </t>
    </r>
    <r>
      <rPr>
        <i/>
        <sz val="10"/>
        <rFont val="Arial"/>
        <family val="2"/>
      </rPr>
      <t>avidum</t>
    </r>
    <r>
      <rPr>
        <sz val="10"/>
        <rFont val="Arial"/>
        <family val="2"/>
      </rPr>
      <t xml:space="preserve"> only</t>
    </r>
  </si>
  <si>
    <t>Small molecules</t>
  </si>
  <si>
    <t>Macromolecular cell composition estimations</t>
  </si>
  <si>
    <t>Cell wall content</t>
  </si>
  <si>
    <t>Lipid content</t>
  </si>
  <si>
    <t>Ash content</t>
  </si>
  <si>
    <t>g/gDW</t>
  </si>
  <si>
    <r>
      <t xml:space="preserve">Allsop and Work (1962) estimated the cell wall to dry weight at 16-20% for strains </t>
    </r>
    <r>
      <rPr>
        <i/>
        <sz val="10"/>
        <rFont val="Arial"/>
        <family val="2"/>
      </rPr>
      <t>P. rubrum</t>
    </r>
    <r>
      <rPr>
        <sz val="10"/>
        <rFont val="Arial"/>
        <family val="2"/>
      </rPr>
      <t xml:space="preserve"> and </t>
    </r>
    <r>
      <rPr>
        <i/>
        <sz val="10"/>
        <rFont val="Arial"/>
        <family val="2"/>
      </rPr>
      <t>P. peterssonii</t>
    </r>
  </si>
  <si>
    <r>
      <t xml:space="preserve">Two separate studies have approximated the total lipid content to be 3% of the cell dry weight in </t>
    </r>
    <r>
      <rPr>
        <i/>
        <sz val="10"/>
        <rFont val="Arial"/>
        <family val="2"/>
      </rPr>
      <t>P. shermanii</t>
    </r>
    <r>
      <rPr>
        <sz val="10"/>
        <rFont val="Arial"/>
        <family val="2"/>
      </rPr>
      <t xml:space="preserve"> and </t>
    </r>
    <r>
      <rPr>
        <i/>
        <sz val="10"/>
        <rFont val="Arial"/>
        <family val="2"/>
      </rPr>
      <t>P. acidipropionici</t>
    </r>
    <r>
      <rPr>
        <sz val="10"/>
        <rFont val="Arial"/>
        <family val="2"/>
      </rPr>
      <t xml:space="preserve"> strains (Sutcliffe and Shaw, 1993 and Shaw and Dinglinger, 1969)</t>
    </r>
  </si>
  <si>
    <r>
      <t xml:space="preserve">While no data is available for </t>
    </r>
    <r>
      <rPr>
        <i/>
        <sz val="10"/>
        <rFont val="Arial"/>
        <family val="2"/>
      </rPr>
      <t>Propionibacterium</t>
    </r>
    <r>
      <rPr>
        <sz val="10"/>
        <rFont val="Arial"/>
        <family val="2"/>
      </rPr>
      <t xml:space="preserve">, the agreement of measurements for </t>
    </r>
    <r>
      <rPr>
        <i/>
        <sz val="10"/>
        <rFont val="Arial"/>
        <family val="2"/>
      </rPr>
      <t xml:space="preserve">C. glutamicum (Cocaign-Bousqet </t>
    </r>
    <r>
      <rPr>
        <sz val="10"/>
        <rFont val="Arial"/>
        <family val="2"/>
      </rPr>
      <t xml:space="preserve">et al., 1996) and </t>
    </r>
    <r>
      <rPr>
        <i/>
        <sz val="10"/>
        <rFont val="Arial"/>
        <family val="2"/>
      </rPr>
      <t xml:space="preserve">S. Clavuligerus </t>
    </r>
    <r>
      <rPr>
        <sz val="10"/>
        <rFont val="Arial"/>
        <family val="2"/>
      </rPr>
      <t>(Roubos, 2002) of 0.09g/g DW makes this estimate reasonable</t>
    </r>
  </si>
  <si>
    <t>Sum specified content:</t>
  </si>
  <si>
    <t>Sum</t>
  </si>
  <si>
    <t>Conserve ratios while incorporating specified values</t>
  </si>
  <si>
    <t>New values</t>
  </si>
  <si>
    <t>Overall composition</t>
  </si>
  <si>
    <t>Small molecule pool</t>
  </si>
  <si>
    <t>Lipid</t>
  </si>
  <si>
    <t>sum</t>
  </si>
  <si>
    <t>g/g protein</t>
  </si>
  <si>
    <t>|L-Arginine|</t>
  </si>
  <si>
    <t>cpd00051</t>
  </si>
  <si>
    <t>|L-Asparagine|</t>
  </si>
  <si>
    <t>cpd00132</t>
  </si>
  <si>
    <t xml:space="preserve">|L-Aspartate|
</t>
  </si>
  <si>
    <t>cpd00041</t>
  </si>
  <si>
    <t>|Glutamine|</t>
  </si>
  <si>
    <t>cpd00253</t>
  </si>
  <si>
    <t>|L-Glutamate|</t>
  </si>
  <si>
    <t>|Glycine|</t>
  </si>
  <si>
    <t>|L-Histidine|</t>
  </si>
  <si>
    <t>cpd00119</t>
  </si>
  <si>
    <t>|L-Isoleucine|</t>
  </si>
  <si>
    <t>cpd00322</t>
  </si>
  <si>
    <t>|L-Leucine|</t>
  </si>
  <si>
    <t>cpd00107</t>
  </si>
  <si>
    <t>|L-Lysine|</t>
  </si>
  <si>
    <t>cpd00039</t>
  </si>
  <si>
    <t>cpd00060</t>
  </si>
  <si>
    <t>|L-Methionine|</t>
  </si>
  <si>
    <t>cpd00066</t>
  </si>
  <si>
    <t>|L-Phenylalanine|</t>
  </si>
  <si>
    <t>|L-Proline|</t>
  </si>
  <si>
    <t>cpd00129</t>
  </si>
  <si>
    <t>|L-Serine|</t>
  </si>
  <si>
    <t>|L-Threonine|</t>
  </si>
  <si>
    <t>cpd00161</t>
  </si>
  <si>
    <t>|L-Tryptophan|</t>
  </si>
  <si>
    <t>cpd00065</t>
  </si>
  <si>
    <t>|L-Tyrosine|</t>
  </si>
  <si>
    <t>cpd00069</t>
  </si>
  <si>
    <t>|L-Valine|</t>
  </si>
  <si>
    <t>cpd00156</t>
  </si>
  <si>
    <t>rxnnew65_c0</t>
  </si>
  <si>
    <r>
      <rPr>
        <i/>
        <sz val="10"/>
        <rFont val="Arial"/>
        <family val="2"/>
      </rPr>
      <t>Propionibacterium</t>
    </r>
    <r>
      <rPr>
        <sz val="10"/>
        <rFont val="Arial"/>
        <family val="2"/>
      </rPr>
      <t xml:space="preserve"> protein biosynthesis</t>
    </r>
  </si>
  <si>
    <t>(1.182) cpd00035[c0] + (0.222) cpd00051[c0] + (0.385) cpd00132[c0] + (0.39) cpd00041[c0] + (0.167) cpd00084[c0] + (0.534) cpd00023[c0] + (0.302) cpd00253[c0] + (1.021) cpd00033[c0] + (0.172) cpd00119[c0] + (0.521) cpd00322[c0] + (0.293) cpd00107[c0] + (0.151) cpd00039[c0] + (0.258) cpd00060[c0] + (0.293) cpd00066[c0] + (0.772) cpd00129[c0] + (0.43) cpd00054[c0] + (0.55) cpd00161[c0] + (0.073) cpd00065[c0] + (0.143) cpd00069[c0] + (0.456) cpd00156[c0] + (35.8) cpd00002[c0] =&gt; (35.8) cpd00008[c0] + (35.8) cpd00009[c0] + (1) cpd11463[c0]</t>
  </si>
  <si>
    <t>(1.182) |L-Alanine| + (0.222) |L-Arginine| + (0.385) |L-Asparagine| + (0.39) |L-Aspartate| + (0.167) |L-Cysteine| + (0.534) |L-Glutamate| + (0.302) |Glutamine| + (1.021) |Glycine| + (0.172) |L-Histidine| + (0.521) |L-Isoleucine| + (0.293) |L-Leucine| + (0.151) |L-Lysine| + (0.258) |L-Methionine| + (0.293) |L-Phenylalanine| + (0.772) |L-Proline| + (0.43) |L-Serine| + (0.55) |L-Threonine| + (0.073) |L-Tryptophan| + (0.143) |L-Tyrosine| + (0.456) |L-Valine| + (35.8) |ATP| =&gt; (35.8) |ADP| + (35.8) |Phosphate| + (1) |PROTEIN|</t>
  </si>
  <si>
    <t>Proteins</t>
  </si>
  <si>
    <t>g/g small molecules</t>
  </si>
  <si>
    <t>mmol/g pool</t>
  </si>
  <si>
    <r>
      <t xml:space="preserve">mmol/g DW </t>
    </r>
    <r>
      <rPr>
        <i/>
        <sz val="10"/>
        <color indexed="8"/>
        <rFont val="Arial"/>
        <family val="2"/>
      </rPr>
      <t>E. Coli</t>
    </r>
  </si>
  <si>
    <t>(0.0798) cpd00056[c0] + (0.0431) cpd00015[c0] + (0.0897) cpd00220[c0] + (0.051) cpd00003[c0] + (0.0509) cpd00004[c0] + (0.0455) cpd00006[c0] + (0.0455) cpd00005[c0] + (0.0442) cpd00010[c0] + (0.1372) cpd00016[c0] + (0.1389) cpd00104[c0] + (0.0716) cpd00201[c0] + (0.0738) cpd00345[c0] + (0.0742) cpd00125[c0] + (0.0762) cpd00087[c0] + (0.0214) cpd00166[c0] + (0.0428) cpdnew25[c0] + (0.0846) cpd00017[c0] + (0.0372) cpd00557[c0] + (0.055) cpd00028[c0] + (0.0634) cpdnew23[c0] + (0.0317) cpdnew24[c0] + (0.3868) cpd00013[c0] + (0.1548) cpd00099[c0] + (0.0008) cpd00149[c0] + (0.1996) cpd00021[c0] + (0.2321) cpd10516[c0] + (0.0206) cpd00030[c0] + (0.2579) cpd00254[c0] + (5.8028) cpd00205[c0] + (0.1289) cpd00048[c0] =&gt; (1) cpdnew26[c0]</t>
  </si>
  <si>
    <t>(0.0798) |TPP| + (0.0431) |FAD| + (0.0897) |Riboflavin| + (0.051) |NAD| + (0.0509) |NADH| + (0.0455) |NADP| + (0.0455) |NADPH| + (0.0442) |CoA| + (0.1372) |Pyridoxal phosphate| + (0.1389) |BIOT| + (0.0716) |10-Formyltetrahydrofolate| + (0.0738) |5-Methyltetrahydrofolate| + (0.0742) |5-10-Methylenetetrahydrofolate| + (0.0762) |Tetrahydrofolate| + (0.0214) |Calomide| + (0.0428) |Menaquinol-9(4H)| + (0.0846) |S-Adenosyl-L-methionine| + (0.0372) |Siroheme| + (0.055) |Heme| + (0.0634) |2Fe2S| + (0.0317) |4Fe4S| + (0.3868) |NH3| + (0.1548) |Cl-| + (0.0008) |Co2+| + (0.1996) |Fe2+| + (0.2321) |fe3| + (0.0206) |Mn2+| + (0.2579) |Mg| + (5.8028) |K+| + (0.1289) |Sulfate| =&gt; (1) |Small molecule pool|</t>
  </si>
  <si>
    <t>A</t>
  </si>
  <si>
    <t>T</t>
  </si>
  <si>
    <t>G</t>
  </si>
  <si>
    <t>C</t>
  </si>
  <si>
    <t>mRNA composition</t>
  </si>
  <si>
    <t>Glucose_1</t>
  </si>
  <si>
    <t>Glucose_1_pair</t>
  </si>
  <si>
    <t>Glucose_2</t>
  </si>
  <si>
    <t>Glucose_2_pair</t>
  </si>
  <si>
    <t>Glycerol_1</t>
  </si>
  <si>
    <t>Glycerol_2_pair</t>
  </si>
  <si>
    <t>Glycerol_1_pair</t>
  </si>
  <si>
    <t>Glycerol_2</t>
  </si>
  <si>
    <t>Sucrose_1</t>
  </si>
  <si>
    <t>Sucrose_1_pair</t>
  </si>
  <si>
    <t>Sucrose_2</t>
  </si>
  <si>
    <t>Sucrose_2_pair</t>
  </si>
  <si>
    <t>Total counts</t>
  </si>
  <si>
    <t>U</t>
  </si>
  <si>
    <t>Proportions per read set</t>
  </si>
  <si>
    <t>Averages by carbon source</t>
  </si>
  <si>
    <t>rRNA composition</t>
  </si>
  <si>
    <t>23S</t>
  </si>
  <si>
    <t>16S</t>
  </si>
  <si>
    <t>tRNA compositoin</t>
  </si>
  <si>
    <t>Composition was based on the Ala and Glyc tRNA molecules corresponding to the most abundant amino acids</t>
  </si>
  <si>
    <t>Ala</t>
  </si>
  <si>
    <t>Gly</t>
  </si>
  <si>
    <t xml:space="preserve">Composition was estimated using transcriptomics data collected on a complex medium fermentation performed on three different carbon sources in duplicate (data unpublished); glucose, sucrose and glycerol, and averaging across these conditions. </t>
  </si>
  <si>
    <t>Composition was estimated based on the 16, and 23 S rRNA sequences from the genome</t>
  </si>
  <si>
    <r>
      <t xml:space="preserve">RNA was assumed to consist of 5% mRNA, 75% rRNA and 20% tRNA by molar ratio. We estimated the composition of mRNA by counting the composition of bases in rRNA depleted transcriptomic reads from </t>
    </r>
    <r>
      <rPr>
        <i/>
        <sz val="10"/>
        <rFont val="Arial"/>
        <family val="2"/>
      </rPr>
      <t>P. acidipropionici</t>
    </r>
    <r>
      <rPr>
        <sz val="10"/>
        <rFont val="Arial"/>
        <family val="2"/>
      </rPr>
      <t xml:space="preserve"> 4875. We threfore also estimated the composition of tRNA and rRNA from the genome sequence of </t>
    </r>
    <r>
      <rPr>
        <i/>
        <sz val="10"/>
        <rFont val="Arial"/>
        <family val="2"/>
      </rPr>
      <t>P. acidipropionici ATCC</t>
    </r>
    <r>
      <rPr>
        <sz val="10"/>
        <rFont val="Arial"/>
        <family val="2"/>
      </rPr>
      <t xml:space="preserve"> 4875. </t>
    </r>
  </si>
  <si>
    <t>RNA composition</t>
  </si>
  <si>
    <t>Formation of RNA</t>
  </si>
  <si>
    <t>Molar proportion</t>
  </si>
  <si>
    <t>MW (g/mol)</t>
  </si>
  <si>
    <t>rxnnew66_c0</t>
  </si>
  <si>
    <r>
      <rPr>
        <i/>
        <sz val="10"/>
        <rFont val="Arial"/>
        <family val="2"/>
      </rPr>
      <t>Propionibacterium</t>
    </r>
    <r>
      <rPr>
        <sz val="10"/>
        <rFont val="Arial"/>
        <family val="2"/>
      </rPr>
      <t xml:space="preserve"> RNA biosynthesis</t>
    </r>
  </si>
  <si>
    <t>Synthesis molecules</t>
  </si>
  <si>
    <t>Name</t>
  </si>
  <si>
    <t>UTP</t>
  </si>
  <si>
    <t>GTP</t>
  </si>
  <si>
    <t>cpd00062</t>
  </si>
  <si>
    <t>cpd00038</t>
  </si>
  <si>
    <t>(2.026) cpd00002[c0] + (0.69) cpd00062[c0] + (0.812) cpd00052[c0] + (1.114) cpd00038[c0] =&gt; (1.326) cpd00008[c0] + (1.326) cpd00009[c0] + (2.026) cpd00012[c0] + (1) cpd11613[c0]</t>
  </si>
  <si>
    <t>(2.026) |ATP| + (0.69) |UTP| + (0.812) |CTP| + (1.114) |GTP| =&gt; (1.326) |ADP| + (1.326) |Phosphate| + (2.026) |PPi| + (1) |RNA|</t>
  </si>
  <si>
    <t>DNA composition is easily determined from the fully sequenced genomes utilised in this study. We averaged the DNA composition across all strains studied to create a consensus equation.</t>
  </si>
  <si>
    <r>
      <rPr>
        <i/>
        <sz val="10"/>
        <rFont val="Arial"/>
        <family val="2"/>
      </rPr>
      <t>P. acidipropionici</t>
    </r>
    <r>
      <rPr>
        <sz val="10"/>
        <rFont val="Arial"/>
        <family val="2"/>
      </rPr>
      <t xml:space="preserve"> 4875</t>
    </r>
  </si>
  <si>
    <r>
      <rPr>
        <i/>
        <sz val="10"/>
        <rFont val="Arial"/>
        <family val="2"/>
      </rPr>
      <t>P. acidipropionici</t>
    </r>
    <r>
      <rPr>
        <sz val="10"/>
        <rFont val="Arial"/>
        <family val="2"/>
      </rPr>
      <t xml:space="preserve"> 55737</t>
    </r>
  </si>
  <si>
    <r>
      <rPr>
        <i/>
        <sz val="10"/>
        <rFont val="Arial"/>
        <family val="2"/>
      </rPr>
      <t>P. freudenreichii ssp. shermanii</t>
    </r>
    <r>
      <rPr>
        <sz val="10"/>
        <rFont val="Arial"/>
        <family val="2"/>
      </rPr>
      <t xml:space="preserve"> CIRM-BIA1</t>
    </r>
  </si>
  <si>
    <r>
      <rPr>
        <i/>
        <sz val="10"/>
        <rFont val="Arial"/>
        <family val="2"/>
      </rPr>
      <t>P. avidum</t>
    </r>
    <r>
      <rPr>
        <sz val="10"/>
        <rFont val="Arial"/>
        <family val="2"/>
      </rPr>
      <t xml:space="preserve"> 44067</t>
    </r>
  </si>
  <si>
    <r>
      <rPr>
        <i/>
        <sz val="10"/>
        <rFont val="Arial"/>
        <family val="2"/>
      </rPr>
      <t>P. propionicum</t>
    </r>
    <r>
      <rPr>
        <sz val="10"/>
        <rFont val="Arial"/>
        <family val="2"/>
      </rPr>
      <t xml:space="preserve"> F0230a</t>
    </r>
  </si>
  <si>
    <r>
      <rPr>
        <i/>
        <sz val="10"/>
        <rFont val="Arial"/>
        <family val="2"/>
      </rPr>
      <t>P. acnes</t>
    </r>
    <r>
      <rPr>
        <sz val="10"/>
        <rFont val="Arial"/>
        <family val="2"/>
      </rPr>
      <t xml:space="preserve"> 266</t>
    </r>
  </si>
  <si>
    <t>GC composition</t>
  </si>
  <si>
    <t>Molar deoxynucleotide proportions</t>
  </si>
  <si>
    <t>Formation of DNA</t>
  </si>
  <si>
    <t>DNA is formed from deoxynucleotide triphosphates and is composed of monophosphate deoxynucleotides minus a water for polymerisation. The ATP for polymerisation of DNA was taken from Neidhardt et al. (1987) as 1.372 mmol ATP/mmol DNA synthesised</t>
  </si>
  <si>
    <t>RNA is formed from nucleotide triphosphates and is composed of monophosphate nucleotides minus a water for polymerisation. The ATP for polymerisation of RNA was taken from Neidhardt et al. (1987) as 0.4 mmol ATP/mmol RNA synthesised</t>
  </si>
  <si>
    <t>cpd00115</t>
  </si>
  <si>
    <t>dATP</t>
  </si>
  <si>
    <t>cpd00241</t>
  </si>
  <si>
    <t>dGTP</t>
  </si>
  <si>
    <t>cpd00356</t>
  </si>
  <si>
    <t>dCTP</t>
  </si>
  <si>
    <t>cpd00357</t>
  </si>
  <si>
    <t>TTP</t>
  </si>
  <si>
    <t>rxnnew67_c0</t>
  </si>
  <si>
    <r>
      <rPr>
        <i/>
        <sz val="10"/>
        <rFont val="Arial"/>
        <family val="2"/>
      </rPr>
      <t>Propionibacterium</t>
    </r>
    <r>
      <rPr>
        <sz val="10"/>
        <rFont val="Arial"/>
        <family val="2"/>
      </rPr>
      <t xml:space="preserve"> DNA biosynthesis</t>
    </r>
  </si>
  <si>
    <t>(0.5569) cpd00115[c0] + (0.5569) cpd00357[c0] + (1.0674) cpd00241[c0] + (1.0674) cpd00356[c0] +  (4.457) cpd00002[c0] =&gt; (4.457) cpd00008[c0] + (4.457) cpd00009[c0] + (3.2486) cpd00012[c0] + (1) cpd11461[c0]</t>
  </si>
  <si>
    <t>(0.5569) |dATP| + (0.5569) |TTP| + (1.0674) |dGTP| + (1.0674) |dCTP| +  (4.457) |ATP| =&gt; (4.457) |ADP| + (4.457) |Phosphate| + (3.2486) |PPi| + (1) |DNA|</t>
  </si>
  <si>
    <t>Overall biomass equation</t>
  </si>
  <si>
    <t>cpd11463[c0]</t>
  </si>
  <si>
    <t>cpd11461[c0]</t>
  </si>
  <si>
    <t>cpd11613[c0]</t>
  </si>
  <si>
    <t>Propionibacterium lipid</t>
  </si>
  <si>
    <t>cpdnew18[c0]</t>
  </si>
  <si>
    <t>Cell wall synthesis</t>
  </si>
  <si>
    <t>Propionibacterium cell wall</t>
  </si>
  <si>
    <t>(0.675) |Propionibacterium peptidoglycan| + (0.036) |Lipomannan| + (0.289) |Polysaccharide|  =&gt; (1) |Propionibacterium cell wall|</t>
  </si>
  <si>
    <t>|Small molecule pool|</t>
  </si>
  <si>
    <t>cpdnew27</t>
  </si>
  <si>
    <t>(0.675) cpdnew22[c0] + (0.036) cpdnew21[c0] + (0.289) cpdnew20[c0]  =&gt; (1) cpdnew27[c0]</t>
  </si>
  <si>
    <t>cpdnew27[c0]</t>
  </si>
  <si>
    <t>cpdnew26[c0]</t>
  </si>
  <si>
    <t>biomass_c0</t>
  </si>
  <si>
    <r>
      <rPr>
        <i/>
        <sz val="10"/>
        <rFont val="Arial"/>
        <family val="2"/>
      </rPr>
      <t>Propionibacterium</t>
    </r>
    <r>
      <rPr>
        <sz val="10"/>
        <rFont val="Arial"/>
        <family val="2"/>
      </rPr>
      <t xml:space="preserve"> biomass equation (mmol/g DW)</t>
    </r>
  </si>
  <si>
    <t>(0.434) cpd11463[c0] + (0.038) cpd11461[c0] + (0.176) cpd11613[c0] + (0.032) cpdnew26[c0] +  (0.2) cpdnew27[c0] + (0.03) cpdnew18[c0] =&gt;</t>
  </si>
  <si>
    <t>(0.434) |PROTEIN| + (0.038) |DNA| + (0.176) |RNA| + (0.032) |Small molecule pool| +  (0.2) |Cell wall| + (0.03) |Propionibacterium lipid| =&gt;</t>
  </si>
  <si>
    <t>Biomass equation</t>
  </si>
  <si>
    <t>The following is a summary of all modifications made to the initial reconstructions for the modelling of biomass, derived from the information contained within the subsequent tabs</t>
  </si>
  <si>
    <t>Essential</t>
  </si>
  <si>
    <r>
      <t>P. propionicum</t>
    </r>
    <r>
      <rPr>
        <sz val="10"/>
        <color indexed="8"/>
        <rFont val="Arial"/>
        <family val="2"/>
      </rPr>
      <t>: requires riboflavin</t>
    </r>
  </si>
  <si>
    <t>P. propionicum</t>
  </si>
  <si>
    <r>
      <t>P. propionicum</t>
    </r>
    <r>
      <rPr>
        <sz val="10"/>
        <rFont val="Arial"/>
        <family val="2"/>
      </rPr>
      <t xml:space="preserve"> (NAD)</t>
    </r>
  </si>
  <si>
    <t>All (pantothionine)</t>
  </si>
  <si>
    <r>
      <t xml:space="preserve">All, </t>
    </r>
    <r>
      <rPr>
        <i/>
        <sz val="10"/>
        <rFont val="Arial"/>
        <family val="2"/>
      </rPr>
      <t xml:space="preserve">P. avidum </t>
    </r>
    <r>
      <rPr>
        <sz val="10"/>
        <rFont val="Arial"/>
        <family val="2"/>
      </rPr>
      <t xml:space="preserve">and </t>
    </r>
    <r>
      <rPr>
        <i/>
        <sz val="10"/>
        <rFont val="Arial"/>
        <family val="2"/>
      </rPr>
      <t xml:space="preserve">P. acnes </t>
    </r>
    <r>
      <rPr>
        <sz val="10"/>
        <rFont val="Arial"/>
        <family val="2"/>
      </rPr>
      <t>can source from externally provided pimelate</t>
    </r>
  </si>
  <si>
    <r>
      <t xml:space="preserve">The cell walls are known to be quite different between various </t>
    </r>
    <r>
      <rPr>
        <i/>
        <sz val="10"/>
        <rFont val="Arial"/>
        <family val="2"/>
      </rPr>
      <t>Propionibacteria</t>
    </r>
    <r>
      <rPr>
        <sz val="10"/>
        <rFont val="Arial"/>
        <family val="2"/>
      </rPr>
      <t xml:space="preserve">, it is known for example that </t>
    </r>
    <r>
      <rPr>
        <i/>
        <sz val="10"/>
        <rFont val="Arial"/>
        <family val="2"/>
      </rPr>
      <t>P. shermanii</t>
    </r>
    <r>
      <rPr>
        <sz val="10"/>
        <rFont val="Arial"/>
        <family val="2"/>
      </rPr>
      <t xml:space="preserve"> and </t>
    </r>
    <r>
      <rPr>
        <i/>
        <sz val="10"/>
        <rFont val="Arial"/>
        <family val="2"/>
      </rPr>
      <t>P. jensenii</t>
    </r>
    <r>
      <rPr>
        <sz val="10"/>
        <rFont val="Arial"/>
        <family val="2"/>
      </rPr>
      <t xml:space="preserve"> contain S-layers in their cell walls unlike other </t>
    </r>
    <r>
      <rPr>
        <i/>
        <sz val="10"/>
        <rFont val="Arial"/>
        <family val="2"/>
      </rPr>
      <t>Propionibacteria</t>
    </r>
    <r>
      <rPr>
        <sz val="10"/>
        <rFont val="Arial"/>
        <family val="2"/>
      </rPr>
      <t xml:space="preserve"> (Lortal et al. 1993) while </t>
    </r>
    <r>
      <rPr>
        <i/>
        <sz val="10"/>
        <rFont val="Arial"/>
        <family val="2"/>
      </rPr>
      <t>P. shermanii</t>
    </r>
    <r>
      <rPr>
        <sz val="10"/>
        <rFont val="Arial"/>
        <family val="2"/>
      </rPr>
      <t xml:space="preserve"> lacks a characteristic aminohexauronic acid present in polysaccharides of </t>
    </r>
    <r>
      <rPr>
        <i/>
        <sz val="10"/>
        <rFont val="Arial"/>
        <family val="2"/>
      </rPr>
      <t>P. acnes</t>
    </r>
    <r>
      <rPr>
        <sz val="10"/>
        <rFont val="Arial"/>
        <family val="2"/>
      </rPr>
      <t xml:space="preserve"> (Nagaoka et al. 1985) typical of other species (Cummins, 1985). The cell walls of a couple of </t>
    </r>
    <r>
      <rPr>
        <i/>
        <sz val="10"/>
        <rFont val="Arial"/>
        <family val="2"/>
      </rPr>
      <t>Propionibacterium</t>
    </r>
    <r>
      <rPr>
        <sz val="10"/>
        <rFont val="Arial"/>
        <family val="2"/>
      </rPr>
      <t xml:space="preserve"> were studied by Allsop and Work (1962) giving insight into the likely peptidoglycan structure, rough composition of the basic compound building blocks and contribution of the cell wall to dry weight (16-20%) for strains </t>
    </r>
    <r>
      <rPr>
        <i/>
        <sz val="10"/>
        <rFont val="Arial"/>
        <family val="2"/>
      </rPr>
      <t>P. rubrum</t>
    </r>
    <r>
      <rPr>
        <sz val="10"/>
        <rFont val="Arial"/>
        <family val="2"/>
      </rPr>
      <t xml:space="preserve"> and </t>
    </r>
    <r>
      <rPr>
        <i/>
        <sz val="10"/>
        <rFont val="Arial"/>
        <family val="2"/>
      </rPr>
      <t>P. peterssonii</t>
    </r>
    <r>
      <rPr>
        <sz val="10"/>
        <rFont val="Arial"/>
        <family val="2"/>
      </rPr>
      <t xml:space="preserve">. Lipoteichoic acid is not thought to exist in </t>
    </r>
    <r>
      <rPr>
        <i/>
        <sz val="10"/>
        <rFont val="Arial"/>
        <family val="2"/>
      </rPr>
      <t>Propionibacterium</t>
    </r>
    <r>
      <rPr>
        <sz val="10"/>
        <rFont val="Arial"/>
        <family val="2"/>
      </rPr>
      <t xml:space="preserve">. Rather, a lipomannan has been found in </t>
    </r>
    <r>
      <rPr>
        <i/>
        <sz val="10"/>
        <rFont val="Arial"/>
        <family val="2"/>
      </rPr>
      <t>P. shermanii</t>
    </r>
    <r>
      <rPr>
        <sz val="10"/>
        <rFont val="Arial"/>
        <family val="2"/>
      </rPr>
      <t xml:space="preserve"> (Sutcliffe and Shaw 1989) and an amphiphilic antigen containing the aminohexauronic acid previously mentioned, diaminomanuronic acid, has been found in </t>
    </r>
    <r>
      <rPr>
        <i/>
        <sz val="10"/>
        <rFont val="Arial"/>
        <family val="2"/>
      </rPr>
      <t>P. acnes</t>
    </r>
    <r>
      <rPr>
        <sz val="10"/>
        <rFont val="Arial"/>
        <family val="2"/>
      </rPr>
      <t xml:space="preserve">. We have assumed the presence of the aminohexauronic acid in almost all species is indicative of the presence of the polysaccharide identified in </t>
    </r>
    <r>
      <rPr>
        <i/>
        <sz val="10"/>
        <rFont val="Arial"/>
        <family val="2"/>
      </rPr>
      <t xml:space="preserve">P. acnes </t>
    </r>
    <r>
      <rPr>
        <sz val="10"/>
        <rFont val="Arial"/>
        <family val="2"/>
      </rPr>
      <t xml:space="preserve">and also assumed that the lipomannan found in </t>
    </r>
    <r>
      <rPr>
        <i/>
        <sz val="10"/>
        <rFont val="Arial"/>
        <family val="2"/>
      </rPr>
      <t>shermanii</t>
    </r>
    <r>
      <rPr>
        <sz val="10"/>
        <rFont val="Arial"/>
        <family val="2"/>
      </rPr>
      <t xml:space="preserve"> is present in all species pending further proof. The peptidoglycan of </t>
    </r>
    <r>
      <rPr>
        <i/>
        <sz val="10"/>
        <rFont val="Arial"/>
        <family val="2"/>
      </rPr>
      <t>P. shermanii</t>
    </r>
    <r>
      <rPr>
        <sz val="10"/>
        <rFont val="Arial"/>
        <family val="2"/>
      </rPr>
      <t xml:space="preserve"> also has a different confirmation to the other </t>
    </r>
    <r>
      <rPr>
        <i/>
        <sz val="10"/>
        <rFont val="Arial"/>
        <family val="2"/>
      </rPr>
      <t>Propionibacteria</t>
    </r>
    <r>
      <rPr>
        <sz val="10"/>
        <rFont val="Arial"/>
        <family val="2"/>
      </rPr>
      <t xml:space="preserve">, which have the same structure as </t>
    </r>
    <r>
      <rPr>
        <i/>
        <sz val="10"/>
        <rFont val="Arial"/>
        <family val="2"/>
      </rPr>
      <t xml:space="preserve">Streptomyces </t>
    </r>
    <r>
      <rPr>
        <sz val="10"/>
        <rFont val="Arial"/>
        <family val="2"/>
      </rPr>
      <t>(Schleifer and Kandler 1972).</t>
    </r>
  </si>
  <si>
    <r>
      <t xml:space="preserve">Two types of peptidoglycan have been identified in </t>
    </r>
    <r>
      <rPr>
        <i/>
        <sz val="10"/>
        <rFont val="Arial"/>
        <family val="2"/>
      </rPr>
      <t>Propionibacterium</t>
    </r>
    <r>
      <rPr>
        <sz val="10"/>
        <rFont val="Arial"/>
        <family val="2"/>
      </rPr>
      <t xml:space="preserve">; both </t>
    </r>
    <r>
      <rPr>
        <i/>
        <sz val="10"/>
        <rFont val="Arial"/>
        <family val="2"/>
      </rPr>
      <t>freudenreichii</t>
    </r>
    <r>
      <rPr>
        <sz val="10"/>
        <rFont val="Arial"/>
        <family val="2"/>
      </rPr>
      <t xml:space="preserve"> subspecies lack glycine from the peptidoglycan while glycine is a cross-linker molecule in the cutaneous </t>
    </r>
    <r>
      <rPr>
        <i/>
        <sz val="10"/>
        <rFont val="Arial"/>
        <family val="2"/>
      </rPr>
      <t>Propionibacteria</t>
    </r>
    <r>
      <rPr>
        <sz val="10"/>
        <rFont val="Arial"/>
        <family val="2"/>
      </rPr>
      <t xml:space="preserve"> species (Kamisango et al. 1983). We have used the glycine containing peptidoglycan of the cutaneous species for the consensus biomass equation and have averaged the composition across data reported for each of these species by Kamisango. It is assumed that 1 ATP is consumed to attach each amino acid to the peptidoglycan complex and that the N-acetylmuramic and N-acetylglucosamine are supplied as the activated UDP bound form</t>
    </r>
  </si>
  <si>
    <t xml:space="preserve">EQUATION: Note that NAM and GAM are bound in their UDP forms. </t>
  </si>
  <si>
    <r>
      <t xml:space="preserve">An acidic polysaccharide has been found and characterised in </t>
    </r>
    <r>
      <rPr>
        <i/>
        <sz val="10"/>
        <rFont val="Arial"/>
        <family val="2"/>
      </rPr>
      <t>P. acnes</t>
    </r>
    <r>
      <rPr>
        <sz val="10"/>
        <rFont val="Arial"/>
        <family val="2"/>
      </rPr>
      <t xml:space="preserve"> (Nagaoka et al.1985). An indepth analysis identified both the composition and structure of the molecules, found to have a molecular weight of approximately 16000 and contain glucose, galactose, mannose, galactosamine and diaminouronic acid in the molar ratio 1:1:0.3:1:2. The mannose proportion is less as this does not compose the regular unit, rather 8% of galactose residuse are substituted by a mannotriose. Here we assume all constituents are UDP linked.</t>
    </r>
  </si>
  <si>
    <t>Synthesis equation (NAM and GAM are bound in their UDP forms)</t>
  </si>
  <si>
    <t>Synthesis equation (assuming bound in GDP activated form)</t>
  </si>
  <si>
    <t>2,3-diacetamido-2,3-dideoxy-α-D-mannuronate synthesis</t>
  </si>
  <si>
    <r>
      <t xml:space="preserve">In propionibacterium the major lipid species are quite variable between each species. Measurements consistently show the predominant species are fatty acids of length 15 and 17 in </t>
    </r>
    <r>
      <rPr>
        <i/>
        <sz val="10"/>
        <rFont val="Arial"/>
        <family val="2"/>
      </rPr>
      <t>P. shermanii</t>
    </r>
    <r>
      <rPr>
        <sz val="10"/>
        <rFont val="Arial"/>
        <family val="2"/>
      </rPr>
      <t xml:space="preserve"> while other data shows that longer chain lengths of 21 and 22 are present more in </t>
    </r>
    <r>
      <rPr>
        <i/>
        <sz val="10"/>
        <rFont val="Arial"/>
        <family val="2"/>
      </rPr>
      <t>P. acidipropionici</t>
    </r>
    <r>
      <rPr>
        <sz val="10"/>
        <rFont val="Arial"/>
        <family val="2"/>
      </rPr>
      <t>. We therefore used a data set from Moss et al. (1969) to find the average fatty acid composition of species that they measured and incoporated only major species in our work (&gt;5%). In all cases, 15 length fatty acids were the predominant species accounting for 50% of the fatty acids; where the non-branched chain odd numbered fatty acids are likely due to the production of propionate by the bacteria.</t>
    </r>
  </si>
  <si>
    <r>
      <t xml:space="preserve">Phospholipids have been semi-quantitatively analysed in </t>
    </r>
    <r>
      <rPr>
        <i/>
        <sz val="10"/>
        <rFont val="Arial"/>
        <family val="2"/>
      </rPr>
      <t>shermanii</t>
    </r>
    <r>
      <rPr>
        <sz val="10"/>
        <rFont val="Arial"/>
        <family val="2"/>
      </rPr>
      <t xml:space="preserve"> by Sutcliffe and Shaw (1993). We approximated the composition of the phospholipids based on their abundance rankings. We also assumed the final phospholipid in their study was acylphosphatidylglycerol as they expected .</t>
    </r>
  </si>
  <si>
    <t>Calculation of molecular weight of average fatty acid molecule and synthesis equations</t>
  </si>
  <si>
    <t>Gap fills and synthesis equations for new fatty acid requirements</t>
  </si>
  <si>
    <r>
      <t xml:space="preserve">Perusal of the literature revealed estimates for the proportion of total lipid content and cell wall contribution to dry weight in </t>
    </r>
    <r>
      <rPr>
        <i/>
        <sz val="10"/>
        <rFont val="Arial"/>
        <family val="2"/>
      </rPr>
      <t xml:space="preserve">Propionibacterium </t>
    </r>
    <r>
      <rPr>
        <sz val="10"/>
        <rFont val="Arial"/>
        <family val="2"/>
      </rPr>
      <t xml:space="preserve">but no studies were identified that sort to quantify the protein, DNA, RNA, small molecule or ash composition of the cell, both in terms of composition and contribution to total dry cell weight. We therefore used data from the recent genome-scale model for </t>
    </r>
    <r>
      <rPr>
        <i/>
        <sz val="10"/>
        <rFont val="Arial"/>
        <family val="2"/>
      </rPr>
      <t>S. coelicolor</t>
    </r>
    <r>
      <rPr>
        <sz val="10"/>
        <rFont val="Arial"/>
        <family val="2"/>
      </rPr>
      <t xml:space="preserve"> (Kim, M et al., 2014) to guide the modelling of compartments with little other available information. </t>
    </r>
  </si>
  <si>
    <r>
      <t xml:space="preserve">Allsop J, Work E: </t>
    </r>
    <r>
      <rPr>
        <b/>
        <sz val="10"/>
        <rFont val="Arial"/>
        <family val="2"/>
      </rPr>
      <t xml:space="preserve">Cell Walls of </t>
    </r>
    <r>
      <rPr>
        <b/>
        <i/>
        <sz val="10"/>
        <rFont val="Arial"/>
        <family val="2"/>
      </rPr>
      <t>Propionibacterium</t>
    </r>
    <r>
      <rPr>
        <b/>
        <sz val="10"/>
        <rFont val="Arial"/>
        <family val="2"/>
      </rPr>
      <t xml:space="preserve"> Species: Fractionation and Composition.</t>
    </r>
    <r>
      <rPr>
        <sz val="10"/>
        <rFont val="Arial"/>
        <family val="2"/>
      </rPr>
      <t xml:space="preserve"> </t>
    </r>
    <r>
      <rPr>
        <i/>
        <sz val="10"/>
        <rFont val="Arial"/>
        <family val="2"/>
      </rPr>
      <t>Biochem. J</t>
    </r>
    <r>
      <rPr>
        <sz val="10"/>
        <rFont val="Arial"/>
        <family val="2"/>
      </rPr>
      <t xml:space="preserve"> 1963, </t>
    </r>
    <r>
      <rPr>
        <b/>
        <sz val="10"/>
        <rFont val="Arial"/>
        <family val="2"/>
      </rPr>
      <t>87</t>
    </r>
    <r>
      <rPr>
        <sz val="10"/>
        <rFont val="Arial"/>
        <family val="2"/>
      </rPr>
      <t>:512-519</t>
    </r>
  </si>
  <si>
    <t>Values of the unspecified macromolecules from the S. coelicolor model (Kim, M et al., 2014)</t>
  </si>
  <si>
    <r>
      <t xml:space="preserve">Roubos H: </t>
    </r>
    <r>
      <rPr>
        <b/>
        <sz val="10"/>
        <rFont val="Arial"/>
        <family val="2"/>
      </rPr>
      <t>Bioprocess modeling and optimization. Fed-batch clavulanic acid production by Streptomyces clavuligerus</t>
    </r>
    <r>
      <rPr>
        <sz val="10"/>
        <rFont val="Arial"/>
        <family val="2"/>
      </rPr>
      <t xml:space="preserve">. </t>
    </r>
    <r>
      <rPr>
        <i/>
        <sz val="10"/>
        <rFont val="Arial"/>
        <family val="2"/>
      </rPr>
      <t>PhD thesis</t>
    </r>
    <r>
      <rPr>
        <sz val="10"/>
        <rFont val="Arial"/>
        <family val="2"/>
      </rPr>
      <t>. Delft University of Technology; 2002</t>
    </r>
  </si>
  <si>
    <r>
      <t xml:space="preserve">No literature is currently available for the determination of the protein composition of </t>
    </r>
    <r>
      <rPr>
        <i/>
        <sz val="10"/>
        <rFont val="Arial"/>
        <family val="2"/>
      </rPr>
      <t>Propionibacterium</t>
    </r>
    <r>
      <rPr>
        <sz val="10"/>
        <rFont val="Arial"/>
        <family val="2"/>
      </rPr>
      <t>. Therefore we modelled both the whole cell protein content and the protein composition using values from</t>
    </r>
    <r>
      <rPr>
        <i/>
        <sz val="10"/>
        <rFont val="Arial"/>
        <family val="2"/>
      </rPr>
      <t xml:space="preserve"> S. coelicolor released in the recent model (Kim, M et al., 2014)</t>
    </r>
    <r>
      <rPr>
        <sz val="10"/>
        <rFont val="Arial"/>
        <family val="2"/>
      </rPr>
      <t xml:space="preserve">, using the data from Neidhardt et al. (1987) to estimate the growth associated maintenance costs of protein production. </t>
    </r>
  </si>
  <si>
    <r>
      <t xml:space="preserve">Sone N, </t>
    </r>
    <r>
      <rPr>
        <b/>
        <sz val="10"/>
        <rFont val="Arial"/>
        <family val="2"/>
      </rPr>
      <t xml:space="preserve">Isolation of a Novel Menaquinone with a Partly Hydrogenated Side Chain from </t>
    </r>
    <r>
      <rPr>
        <b/>
        <i/>
        <sz val="10"/>
        <rFont val="Arial"/>
        <family val="2"/>
      </rPr>
      <t>Propionibacterium arabinosum</t>
    </r>
    <r>
      <rPr>
        <b/>
        <sz val="10"/>
        <rFont val="Arial"/>
        <family val="2"/>
      </rPr>
      <t>.</t>
    </r>
    <r>
      <rPr>
        <sz val="10"/>
        <rFont val="Arial"/>
        <family val="2"/>
      </rPr>
      <t xml:space="preserve"> </t>
    </r>
    <r>
      <rPr>
        <i/>
        <sz val="10"/>
        <rFont val="Arial"/>
        <family val="2"/>
      </rPr>
      <t xml:space="preserve">Journal of Biochemistry </t>
    </r>
    <r>
      <rPr>
        <sz val="10"/>
        <rFont val="Arial"/>
        <family val="2"/>
      </rPr>
      <t xml:space="preserve">1974, </t>
    </r>
    <r>
      <rPr>
        <b/>
        <sz val="10"/>
        <rFont val="Arial"/>
        <family val="2"/>
      </rPr>
      <t>76</t>
    </r>
    <r>
      <rPr>
        <sz val="10"/>
        <rFont val="Arial"/>
        <family val="2"/>
      </rPr>
      <t>: 133-36</t>
    </r>
  </si>
  <si>
    <r>
      <t>Orth JD, Conrad T M, Na J, Lerman JA</t>
    </r>
    <r>
      <rPr>
        <i/>
        <sz val="10"/>
        <color indexed="8"/>
        <rFont val="Arial"/>
        <family val="2"/>
      </rPr>
      <t>, Nam H, Fesit AM, Palsoon BO</t>
    </r>
    <r>
      <rPr>
        <sz val="10"/>
        <color indexed="8"/>
        <rFont val="Arial"/>
        <family val="2"/>
      </rPr>
      <t xml:space="preserve">, </t>
    </r>
    <r>
      <rPr>
        <b/>
        <sz val="10"/>
        <color indexed="8"/>
        <rFont val="Arial"/>
        <family val="2"/>
      </rPr>
      <t xml:space="preserve">A comprehensive genome-scale reconstruction of </t>
    </r>
    <r>
      <rPr>
        <b/>
        <i/>
        <sz val="10"/>
        <color indexed="8"/>
        <rFont val="Arial"/>
        <family val="2"/>
      </rPr>
      <t>Escherichia coli</t>
    </r>
    <r>
      <rPr>
        <b/>
        <sz val="10"/>
        <color indexed="8"/>
        <rFont val="Arial"/>
        <family val="2"/>
      </rPr>
      <t xml:space="preserve"> metabolism--2011</t>
    </r>
    <r>
      <rPr>
        <sz val="10"/>
        <color indexed="8"/>
        <rFont val="Arial"/>
        <family val="2"/>
      </rPr>
      <t>. Mol Syst Biol</t>
    </r>
    <r>
      <rPr>
        <i/>
        <sz val="10"/>
        <color indexed="8"/>
        <rFont val="Arial"/>
        <family val="2"/>
      </rPr>
      <t xml:space="preserve"> </t>
    </r>
    <r>
      <rPr>
        <sz val="10"/>
        <color indexed="8"/>
        <rFont val="Arial"/>
        <family val="2"/>
      </rPr>
      <t xml:space="preserve">2011, </t>
    </r>
    <r>
      <rPr>
        <b/>
        <i/>
        <sz val="10"/>
        <color indexed="8"/>
        <rFont val="Arial"/>
        <family val="2"/>
      </rPr>
      <t>7</t>
    </r>
    <r>
      <rPr>
        <sz val="10"/>
        <color indexed="8"/>
        <rFont val="Arial"/>
        <family val="2"/>
      </rPr>
      <t>, 535</t>
    </r>
  </si>
  <si>
    <r>
      <t xml:space="preserve">The composition of small molecules was assumed to take up 3.2% of the biomass dry cell weight. We approximated electron transport chain components through the generation of protoheme (heme B) and siroheme, the 2Fe-2S and 4Fe-4S iron sulfur clusters and the particular dehydrogenated menaquinol-9(4H) identified in </t>
    </r>
    <r>
      <rPr>
        <i/>
        <sz val="10"/>
        <rFont val="Arial"/>
        <family val="2"/>
      </rPr>
      <t xml:space="preserve">Propionibacterium </t>
    </r>
    <r>
      <rPr>
        <sz val="10"/>
        <rFont val="Arial"/>
        <family val="2"/>
      </rPr>
      <t xml:space="preserve">(Sone, N, 1974). The remaining small molecules were composed of major cofactors (NAD(P)), vitamins and inorganic ions which were determined from an experimentally determined essential salts solution. The composition of all componenents was assumed equal and the concentrations of ions were taken from the recent </t>
    </r>
    <r>
      <rPr>
        <i/>
        <sz val="10"/>
        <rFont val="Arial"/>
        <family val="2"/>
      </rPr>
      <t>E. coli</t>
    </r>
    <r>
      <rPr>
        <sz val="10"/>
        <rFont val="Arial"/>
        <family val="2"/>
      </rPr>
      <t xml:space="preserve"> model (Orth, </t>
    </r>
    <r>
      <rPr>
        <i/>
        <sz val="10"/>
        <rFont val="Arial"/>
        <family val="2"/>
      </rPr>
      <t>et al</t>
    </r>
    <r>
      <rPr>
        <sz val="10"/>
        <rFont val="Arial"/>
        <family val="2"/>
      </rPr>
      <t>, 2011)</t>
    </r>
  </si>
  <si>
    <r>
      <t xml:space="preserve">Lortal S, Rouault A, Cesselin B, Sleytr UB: </t>
    </r>
    <r>
      <rPr>
        <b/>
        <sz val="10"/>
        <rFont val="Arial"/>
        <family val="2"/>
      </rPr>
      <t xml:space="preserve">Paracrystalline Surface Layers of Dairy Propionibacteria. </t>
    </r>
    <r>
      <rPr>
        <i/>
        <sz val="10"/>
        <rFont val="Arial"/>
        <family val="2"/>
      </rPr>
      <t>Applied and Environmental Microbiology</t>
    </r>
    <r>
      <rPr>
        <sz val="10"/>
        <rFont val="Arial"/>
        <family val="2"/>
      </rPr>
      <t>. 1993, 59:2369-2374</t>
    </r>
  </si>
  <si>
    <r>
      <t xml:space="preserve">Cummins CS: </t>
    </r>
    <r>
      <rPr>
        <b/>
        <sz val="10"/>
        <rFont val="Arial"/>
        <family val="2"/>
      </rPr>
      <t xml:space="preserve">Distribution of 2,3-Diaminohexuronic Acid in Strains of </t>
    </r>
    <r>
      <rPr>
        <b/>
        <i/>
        <sz val="10"/>
        <rFont val="Arial"/>
        <family val="2"/>
      </rPr>
      <t xml:space="preserve">Propionibacterium </t>
    </r>
    <r>
      <rPr>
        <b/>
        <sz val="10"/>
        <rFont val="Arial"/>
        <family val="2"/>
      </rPr>
      <t xml:space="preserve">and Other Bacteria. </t>
    </r>
    <r>
      <rPr>
        <i/>
        <sz val="10"/>
        <rFont val="Arial"/>
        <family val="2"/>
      </rPr>
      <t xml:space="preserve">International Journal of Systematic Bacteriology 1985, </t>
    </r>
    <r>
      <rPr>
        <b/>
        <i/>
        <sz val="10"/>
        <rFont val="Arial"/>
        <family val="2"/>
      </rPr>
      <t>35</t>
    </r>
    <r>
      <rPr>
        <i/>
        <sz val="10"/>
        <rFont val="Arial"/>
        <family val="2"/>
      </rPr>
      <t>: 411-416</t>
    </r>
  </si>
  <si>
    <r>
      <t xml:space="preserve">Nagaoka M, Kamisango K, Fujii H, Uchikawa K, Sekikawa I, Azuma I: </t>
    </r>
    <r>
      <rPr>
        <b/>
        <sz val="10"/>
        <color indexed="8"/>
        <rFont val="Arial"/>
        <family val="2"/>
      </rPr>
      <t xml:space="preserve">Structure of acidic polysaccharide from cell wall of Propionibacterium acnes C7. </t>
    </r>
    <r>
      <rPr>
        <i/>
        <sz val="10"/>
        <color indexed="8"/>
        <rFont val="Arial"/>
        <family val="2"/>
      </rPr>
      <t xml:space="preserve">J. Biochem </t>
    </r>
    <r>
      <rPr>
        <sz val="10"/>
        <color indexed="8"/>
        <rFont val="Arial"/>
        <family val="2"/>
      </rPr>
      <t xml:space="preserve">1985, </t>
    </r>
    <r>
      <rPr>
        <b/>
        <sz val="10"/>
        <color indexed="8"/>
        <rFont val="Arial"/>
        <family val="2"/>
      </rPr>
      <t>97</t>
    </r>
    <r>
      <rPr>
        <sz val="10"/>
        <color indexed="8"/>
        <rFont val="Arial"/>
        <family val="2"/>
      </rPr>
      <t>: 1669-78</t>
    </r>
  </si>
  <si>
    <r>
      <t xml:space="preserve">Schleifer KH, Kandler O: </t>
    </r>
    <r>
      <rPr>
        <b/>
        <sz val="10"/>
        <rFont val="Arial"/>
        <family val="2"/>
      </rPr>
      <t xml:space="preserve">Peptidoglycan Types of Bacterial Cell Walls and their Taxonomic Implications. </t>
    </r>
    <r>
      <rPr>
        <i/>
        <sz val="10"/>
        <rFont val="Arial"/>
        <family val="2"/>
      </rPr>
      <t xml:space="preserve">Bacteriological Reviews </t>
    </r>
    <r>
      <rPr>
        <sz val="10"/>
        <rFont val="Arial"/>
        <family val="2"/>
      </rPr>
      <t xml:space="preserve">1972, </t>
    </r>
    <r>
      <rPr>
        <b/>
        <sz val="10"/>
        <rFont val="Arial"/>
        <family val="2"/>
      </rPr>
      <t>36</t>
    </r>
    <r>
      <rPr>
        <sz val="10"/>
        <rFont val="Arial"/>
        <family val="2"/>
      </rPr>
      <t>: 407-477</t>
    </r>
  </si>
  <si>
    <r>
      <t xml:space="preserve">Moss CW, Dowell Jr. VR, Farshtchi D, Raines LJ, Cherry WB: </t>
    </r>
    <r>
      <rPr>
        <b/>
        <sz val="10"/>
        <rFont val="Arial"/>
        <family val="2"/>
      </rPr>
      <t>Cultural Characteristics and Fatty Acid Composition of Propionibacteria</t>
    </r>
    <r>
      <rPr>
        <sz val="10"/>
        <rFont val="Arial"/>
        <family val="2"/>
      </rPr>
      <t xml:space="preserve">. </t>
    </r>
    <r>
      <rPr>
        <i/>
        <sz val="10"/>
        <rFont val="Arial"/>
        <family val="2"/>
      </rPr>
      <t xml:space="preserve">J Bacteriol. </t>
    </r>
    <r>
      <rPr>
        <sz val="10"/>
        <rFont val="Arial"/>
        <family val="2"/>
      </rPr>
      <t xml:space="preserve">1969, </t>
    </r>
    <r>
      <rPr>
        <b/>
        <sz val="10"/>
        <rFont val="Arial"/>
        <family val="2"/>
      </rPr>
      <t>97</t>
    </r>
    <r>
      <rPr>
        <sz val="10"/>
        <rFont val="Arial"/>
        <family val="2"/>
      </rPr>
      <t>: 561-570</t>
    </r>
  </si>
  <si>
    <r>
      <t xml:space="preserve">Lipids in </t>
    </r>
    <r>
      <rPr>
        <i/>
        <sz val="10"/>
        <rFont val="Arial"/>
        <family val="2"/>
      </rPr>
      <t>Propionibacteria</t>
    </r>
    <r>
      <rPr>
        <sz val="10"/>
        <rFont val="Arial"/>
        <family val="2"/>
      </rPr>
      <t xml:space="preserve"> are divided between phospholipids and glycolipid species. In the majority of </t>
    </r>
    <r>
      <rPr>
        <i/>
        <sz val="10"/>
        <rFont val="Arial"/>
        <family val="2"/>
      </rPr>
      <t>Propionibacterium</t>
    </r>
    <r>
      <rPr>
        <sz val="10"/>
        <rFont val="Arial"/>
        <family val="2"/>
      </rPr>
      <t xml:space="preserve"> excluding </t>
    </r>
    <r>
      <rPr>
        <i/>
        <sz val="10"/>
        <rFont val="Arial"/>
        <family val="2"/>
      </rPr>
      <t>P. propionicum</t>
    </r>
    <r>
      <rPr>
        <sz val="10"/>
        <rFont val="Arial"/>
        <family val="2"/>
      </rPr>
      <t xml:space="preserve"> (Pasciak et al., 2002) there is a single major glycolipid. The phospholipids have only been studied thoroughly in </t>
    </r>
    <r>
      <rPr>
        <i/>
        <sz val="10"/>
        <rFont val="Arial"/>
        <family val="2"/>
      </rPr>
      <t>P. shermanii</t>
    </r>
    <r>
      <rPr>
        <sz val="10"/>
        <rFont val="Arial"/>
        <family val="2"/>
      </rPr>
      <t xml:space="preserve"> in which 6 major components were found (Sutcliffe and Shaw, 1993). Two separate studies have approximated the total lipid content to be 3% of the cell dry weight in </t>
    </r>
    <r>
      <rPr>
        <i/>
        <sz val="10"/>
        <rFont val="Arial"/>
        <family val="2"/>
      </rPr>
      <t>shermanii</t>
    </r>
    <r>
      <rPr>
        <sz val="10"/>
        <rFont val="Arial"/>
        <family val="2"/>
      </rPr>
      <t xml:space="preserve"> and </t>
    </r>
    <r>
      <rPr>
        <i/>
        <sz val="10"/>
        <rFont val="Arial"/>
        <family val="2"/>
      </rPr>
      <t>acidipropionici</t>
    </r>
    <r>
      <rPr>
        <sz val="10"/>
        <rFont val="Arial"/>
        <family val="2"/>
      </rPr>
      <t xml:space="preserve"> strains (Sutcliffe and Shaw, 1993 and Shaw and Dinglinger, 1969). The composition of phospholipids has been measured by  Sutcliffe and Shaw as 30% of the lipid total while Shaw and Dinglinger approximated the glycolipid to account for 40% of the total lipids in </t>
    </r>
    <r>
      <rPr>
        <i/>
        <sz val="10"/>
        <rFont val="Arial"/>
        <family val="2"/>
      </rPr>
      <t>shermanii</t>
    </r>
    <r>
      <rPr>
        <sz val="10"/>
        <rFont val="Arial"/>
        <family val="2"/>
      </rPr>
      <t>. From these results there appears to be a "missing" lipid component not accounted for in any previous study. We have therefore scaled the proportions of phospholipids and glycolipids accordingly maintaining the same ratio.</t>
    </r>
  </si>
  <si>
    <r>
      <t xml:space="preserve">Pasciak M, Holst O, Lindner B, Mordarska H, Gamian A: </t>
    </r>
    <r>
      <rPr>
        <b/>
        <sz val="10"/>
        <rFont val="Arial"/>
        <family val="2"/>
      </rPr>
      <t xml:space="preserve">Novel Bacterial Polar Lipids Containing Ether-Linked Alkyl Chains, the Structures and Biological Properties of the Four Major Glycolipids from </t>
    </r>
    <r>
      <rPr>
        <b/>
        <i/>
        <sz val="10"/>
        <rFont val="Arial"/>
        <family val="2"/>
      </rPr>
      <t>Propionibacterium propionicum</t>
    </r>
    <r>
      <rPr>
        <b/>
        <sz val="10"/>
        <rFont val="Arial"/>
        <family val="2"/>
      </rPr>
      <t xml:space="preserve"> PCM 2431 (ATCC 14157). </t>
    </r>
    <r>
      <rPr>
        <i/>
        <sz val="10"/>
        <rFont val="Arial"/>
        <family val="2"/>
      </rPr>
      <t>The Journal of Biological Chemistry</t>
    </r>
    <r>
      <rPr>
        <sz val="10"/>
        <rFont val="Arial"/>
        <family val="2"/>
      </rPr>
      <t xml:space="preserve"> 2002, </t>
    </r>
    <r>
      <rPr>
        <b/>
        <sz val="10"/>
        <rFont val="Arial"/>
        <family val="2"/>
      </rPr>
      <t>278</t>
    </r>
    <r>
      <rPr>
        <sz val="10"/>
        <rFont val="Arial"/>
        <family val="2"/>
      </rPr>
      <t>: 2948-3956</t>
    </r>
  </si>
  <si>
    <r>
      <t xml:space="preserve">Kim M, Sang YJ, Kim J, Kim JN, Kim MW, Kim BG: </t>
    </r>
    <r>
      <rPr>
        <b/>
        <sz val="10"/>
        <rFont val="Arial"/>
        <family val="2"/>
      </rPr>
      <t xml:space="preserve">Reconstruction of a high-quality metabolic model enables the identification of gene overexpression targets for enhanced antibiotic production in Streptomyces coelicolor A3(2). </t>
    </r>
    <r>
      <rPr>
        <i/>
        <sz val="10"/>
        <rFont val="Arial"/>
        <family val="2"/>
      </rPr>
      <t xml:space="preserve">Biotechnol J </t>
    </r>
    <r>
      <rPr>
        <sz val="10"/>
        <rFont val="Arial"/>
        <family val="2"/>
      </rPr>
      <t xml:space="preserve">2014, </t>
    </r>
    <r>
      <rPr>
        <b/>
        <sz val="10"/>
        <rFont val="Arial"/>
        <family val="2"/>
      </rPr>
      <t>9</t>
    </r>
    <r>
      <rPr>
        <sz val="10"/>
        <rFont val="Arial"/>
        <family val="2"/>
      </rPr>
      <t>:1195-94.</t>
    </r>
  </si>
  <si>
    <r>
      <t xml:space="preserve">Sutcliffe, IC, Shaw, N: </t>
    </r>
    <r>
      <rPr>
        <b/>
        <sz val="10"/>
        <rFont val="Arial"/>
        <family val="2"/>
      </rPr>
      <t xml:space="preserve">The phospholipids of Propionibacterium freudenreichii: Absence of phosphatidylinositol mannosides. </t>
    </r>
    <r>
      <rPr>
        <i/>
        <sz val="10"/>
        <rFont val="Arial"/>
        <family val="2"/>
      </rPr>
      <t>Systematic and Applied Microbiology</t>
    </r>
    <r>
      <rPr>
        <sz val="10"/>
        <rFont val="Arial"/>
        <family val="2"/>
      </rPr>
      <t xml:space="preserve"> 1993, </t>
    </r>
    <r>
      <rPr>
        <b/>
        <sz val="10"/>
        <rFont val="Arial"/>
        <family val="2"/>
      </rPr>
      <t>16:</t>
    </r>
    <r>
      <rPr>
        <sz val="10"/>
        <rFont val="Arial"/>
        <family val="2"/>
      </rPr>
      <t>9-12</t>
    </r>
  </si>
  <si>
    <r>
      <t xml:space="preserve">Cocaign-Bousquet M, Guyonvarch A, Lindley ND: </t>
    </r>
    <r>
      <rPr>
        <b/>
        <sz val="10"/>
        <rFont val="Arial"/>
        <family val="2"/>
      </rPr>
      <t xml:space="preserve">Growth rate-dependent modulation of carbon flux through central metabolism and the kinetic consequences for glucose-limited chemostat cultures of </t>
    </r>
    <r>
      <rPr>
        <b/>
        <i/>
        <sz val="10"/>
        <rFont val="Arial"/>
        <family val="2"/>
      </rPr>
      <t>Corynebacterium glutamicum</t>
    </r>
    <r>
      <rPr>
        <b/>
        <sz val="10"/>
        <rFont val="Arial"/>
        <family val="2"/>
      </rPr>
      <t>.</t>
    </r>
    <r>
      <rPr>
        <sz val="10"/>
        <rFont val="Arial"/>
        <family val="2"/>
      </rPr>
      <t xml:space="preserve"> </t>
    </r>
    <r>
      <rPr>
        <i/>
        <sz val="10"/>
        <rFont val="Arial"/>
        <family val="2"/>
      </rPr>
      <t>Appl Environ Microbiol</t>
    </r>
    <r>
      <rPr>
        <sz val="10"/>
        <rFont val="Arial"/>
        <family val="2"/>
      </rPr>
      <t xml:space="preserve"> 1996, </t>
    </r>
    <r>
      <rPr>
        <b/>
        <sz val="10"/>
        <rFont val="Arial"/>
        <family val="2"/>
      </rPr>
      <t>62:</t>
    </r>
    <r>
      <rPr>
        <sz val="10"/>
        <rFont val="Arial"/>
        <family val="2"/>
      </rPr>
      <t>429-436</t>
    </r>
  </si>
  <si>
    <r>
      <t xml:space="preserve">Niedhardt FC, Ingraham JL, Low KB, Magasanik B, Schaechter M, Umbarger HE. </t>
    </r>
    <r>
      <rPr>
        <b/>
        <sz val="10"/>
        <rFont val="Arial"/>
        <family val="2"/>
      </rPr>
      <t>Escherichia coli and</t>
    </r>
    <r>
      <rPr>
        <b/>
        <i/>
        <sz val="10"/>
        <rFont val="Arial"/>
        <family val="2"/>
      </rPr>
      <t xml:space="preserve"> </t>
    </r>
    <r>
      <rPr>
        <b/>
        <sz val="10"/>
        <rFont val="Arial"/>
        <family val="2"/>
      </rPr>
      <t>Salmonella typhimurium</t>
    </r>
    <r>
      <rPr>
        <sz val="10"/>
        <rFont val="Arial"/>
        <family val="2"/>
      </rPr>
      <t>:</t>
    </r>
    <r>
      <rPr>
        <i/>
        <sz val="10"/>
        <rFont val="Arial"/>
        <family val="2"/>
      </rPr>
      <t xml:space="preserve"> Cellular and Molecular Biology</t>
    </r>
    <r>
      <rPr>
        <sz val="10"/>
        <rFont val="Arial"/>
        <family val="2"/>
      </rPr>
      <t>. Washington DC: ASM; 1987.</t>
    </r>
  </si>
  <si>
    <r>
      <t xml:space="preserve">Sutcliffe, IC, Shaw, N: </t>
    </r>
    <r>
      <rPr>
        <b/>
        <sz val="10"/>
        <rFont val="Arial"/>
        <family val="2"/>
      </rPr>
      <t xml:space="preserve">An inositol containing lipomannan from </t>
    </r>
    <r>
      <rPr>
        <b/>
        <i/>
        <sz val="10"/>
        <rFont val="Arial"/>
        <family val="2"/>
      </rPr>
      <t>Propionibacterium freudenreichii</t>
    </r>
    <r>
      <rPr>
        <b/>
        <sz val="10"/>
        <rFont val="Arial"/>
        <family val="2"/>
      </rPr>
      <t xml:space="preserve">. </t>
    </r>
    <r>
      <rPr>
        <i/>
        <sz val="10"/>
        <rFont val="Arial"/>
        <family val="2"/>
      </rPr>
      <t>FEMS Microbiology Letters</t>
    </r>
    <r>
      <rPr>
        <sz val="10"/>
        <rFont val="Arial"/>
        <family val="2"/>
      </rPr>
      <t xml:space="preserve"> 1989, </t>
    </r>
    <r>
      <rPr>
        <b/>
        <sz val="10"/>
        <rFont val="Arial"/>
        <family val="2"/>
      </rPr>
      <t>59</t>
    </r>
    <r>
      <rPr>
        <sz val="10"/>
        <rFont val="Arial"/>
        <family val="2"/>
      </rPr>
      <t>:249-252</t>
    </r>
  </si>
  <si>
    <r>
      <t xml:space="preserve">Shaw N, Dinglinger, F: </t>
    </r>
    <r>
      <rPr>
        <b/>
        <sz val="10"/>
        <rFont val="Arial"/>
        <family val="2"/>
      </rPr>
      <t xml:space="preserve">The Structure of an Acylated Inositol Mannoside in the Lipids of Propionic Acid Bacteria. </t>
    </r>
    <r>
      <rPr>
        <i/>
        <sz val="10"/>
        <rFont val="Arial"/>
        <family val="2"/>
      </rPr>
      <t xml:space="preserve">Biochem. J. </t>
    </r>
    <r>
      <rPr>
        <sz val="10"/>
        <rFont val="Arial"/>
        <family val="2"/>
      </rPr>
      <t xml:space="preserve">1969, </t>
    </r>
    <r>
      <rPr>
        <b/>
        <sz val="10"/>
        <rFont val="Arial"/>
        <family val="2"/>
      </rPr>
      <t>112</t>
    </r>
    <r>
      <rPr>
        <sz val="10"/>
        <rFont val="Arial"/>
        <family val="2"/>
      </rPr>
      <t>: 769-775</t>
    </r>
  </si>
  <si>
    <r>
      <t xml:space="preserve">Estimates for the composition of cell dry weight were based on available literature for </t>
    </r>
    <r>
      <rPr>
        <i/>
        <sz val="10"/>
        <rFont val="Arial"/>
        <family val="2"/>
      </rPr>
      <t xml:space="preserve">Propionibacteria </t>
    </r>
    <r>
      <rPr>
        <sz val="10"/>
        <rFont val="Arial"/>
        <family val="2"/>
      </rPr>
      <t xml:space="preserve">where possible. For values without information they were approximated by conserving the ratio of unknown values contained within the </t>
    </r>
    <r>
      <rPr>
        <i/>
        <sz val="10"/>
        <rFont val="Arial"/>
        <family val="2"/>
      </rPr>
      <t>S. coelicolor model.</t>
    </r>
  </si>
  <si>
    <t>(2.026) cpd00002[c0] + (0.69) cpd00062[c0] + (0.812) cpd00052[c0] + (1.114) cpd00038[c0] =&gt; (1.326) cpd00008[c0] + (1.326) cpd00009[c0] + (3.316) cpd00012[c0] + (1) cpd11613[c0]</t>
  </si>
  <si>
    <t>(2.026) |ATP| + (0.69) |UTP| + (0.812) |CTP| + (1.114) |GTP| =&gt; (1.326) |ADP| + (1.326) |Phosphate| + (3.316) |PPi| + (1) |RNA|</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</si>
</sst>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000"/>
    <numFmt numFmtId="165" formatCode="0.000"/>
    <numFmt numFmtId="166" formatCode="0.0"/>
    <numFmt numFmtId="167" formatCode="0.00000"/>
    <numFmt numFmtId="168" formatCode="0.000000"/>
  </numFmts>
  <fonts count="37">
    <font>
      <sz val="10"/>
      <name val="Arial"/>
    </font>
    <font>
      <b/>
      <sz val="10"/>
      <name val="Arial"/>
      <family val="2"/>
    </font>
    <font>
      <sz val="10"/>
      <name val="Arial"/>
      <family val="2"/>
    </font>
    <font>
      <i/>
      <sz val="10"/>
      <name val="Arial"/>
      <family val="2"/>
    </font>
    <font>
      <sz val="10"/>
      <name val="Times New Roman"/>
      <family val="1"/>
    </font>
    <font>
      <sz val="10"/>
      <name val="Arial"/>
      <family val="2"/>
    </font>
    <font>
      <sz val="11"/>
      <color indexed="8"/>
      <name val="Calibri"/>
      <family val="2"/>
    </font>
    <font>
      <sz val="10"/>
      <name val="Verdana"/>
      <family val="2"/>
    </font>
    <font>
      <i/>
      <sz val="10"/>
      <color indexed="8"/>
      <name val="Arial"/>
      <family val="2"/>
    </font>
    <font>
      <sz val="10"/>
      <color indexed="8"/>
      <name val="Arial"/>
      <family val="2"/>
    </font>
    <font>
      <b/>
      <sz val="10"/>
      <color indexed="8"/>
      <name val="Arial"/>
      <family val="2"/>
    </font>
    <font>
      <b/>
      <i/>
      <sz val="10"/>
      <name val="Arial"/>
      <family val="2"/>
    </font>
    <font>
      <b/>
      <i/>
      <sz val="10"/>
      <color indexed="8"/>
      <name val="Arial"/>
      <family val="2"/>
    </font>
    <font>
      <sz val="11"/>
      <color theme="1"/>
      <name val="Calibri"/>
      <family val="2"/>
      <scheme val="minor"/>
    </font>
    <font>
      <sz val="11"/>
      <color theme="1"/>
      <name val="Calibri"/>
      <family val="2"/>
      <charset val="129"/>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b/>
      <sz val="11"/>
      <color theme="0"/>
      <name val="Calibri"/>
      <family val="2"/>
      <charset val="129"/>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sz val="11"/>
      <color theme="1"/>
      <name val="Calibri"/>
      <family val="3"/>
      <charset val="129"/>
      <scheme val="minor"/>
    </font>
    <font>
      <b/>
      <sz val="11"/>
      <color rgb="FF3F3F3F"/>
      <name val="Calibri"/>
      <family val="2"/>
      <scheme val="minor"/>
    </font>
    <font>
      <sz val="18"/>
      <color theme="3"/>
      <name val="Calibri Light"/>
      <family val="2"/>
      <scheme val="major"/>
    </font>
    <font>
      <b/>
      <sz val="11"/>
      <color theme="1"/>
      <name val="Calibri"/>
      <family val="2"/>
      <scheme val="minor"/>
    </font>
    <font>
      <sz val="11"/>
      <color rgb="FFFF0000"/>
      <name val="Calibri"/>
      <family val="2"/>
      <scheme val="minor"/>
    </font>
    <font>
      <sz val="10"/>
      <color theme="1"/>
      <name val="Arial"/>
      <family val="2"/>
    </font>
    <font>
      <i/>
      <sz val="10"/>
      <color theme="1"/>
      <name val="Arial"/>
      <family val="2"/>
    </font>
    <font>
      <sz val="10"/>
      <color rgb="FF000000"/>
      <name val="Courier New"/>
      <family val="3"/>
    </font>
    <font>
      <sz val="10"/>
      <color rgb="FF000000"/>
      <name val="Arial"/>
      <family val="2"/>
    </font>
  </fonts>
  <fills count="34">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
      <patternFill patternType="solid">
        <fgColor rgb="FFFFFF00"/>
        <bgColor indexed="64"/>
      </patternFill>
    </fill>
  </fills>
  <borders count="10">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5">
    <xf numFmtId="0" fontId="0" fillId="0" borderId="0"/>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4" fillId="4" borderId="0" applyNumberFormat="0" applyBorder="0" applyAlignment="0" applyProtection="0">
      <alignment vertical="center"/>
    </xf>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6" borderId="0" applyNumberFormat="0" applyBorder="0" applyAlignment="0" applyProtection="0"/>
    <xf numFmtId="0" fontId="15"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0" borderId="0" applyNumberFormat="0" applyBorder="0" applyAlignment="0" applyProtection="0"/>
    <xf numFmtId="0" fontId="15"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4" borderId="0" applyNumberFormat="0" applyBorder="0" applyAlignment="0" applyProtection="0"/>
    <xf numFmtId="0" fontId="15" fillId="25" borderId="0" applyNumberFormat="0" applyBorder="0" applyAlignment="0" applyProtection="0"/>
    <xf numFmtId="0" fontId="16" fillId="26" borderId="0" applyNumberFormat="0" applyBorder="0" applyAlignment="0" applyProtection="0"/>
    <xf numFmtId="0" fontId="17" fillId="27" borderId="1" applyNumberFormat="0" applyAlignment="0" applyProtection="0"/>
    <xf numFmtId="0" fontId="18" fillId="28" borderId="2" applyNumberFormat="0" applyAlignment="0" applyProtection="0"/>
    <xf numFmtId="0" fontId="19" fillId="28" borderId="2" applyNumberFormat="0" applyAlignment="0" applyProtection="0">
      <alignment vertical="center"/>
    </xf>
    <xf numFmtId="0" fontId="20" fillId="0" borderId="0" applyNumberFormat="0" applyFill="0" applyBorder="0" applyAlignment="0" applyProtection="0"/>
    <xf numFmtId="0" fontId="21" fillId="29" borderId="0" applyNumberFormat="0" applyBorder="0" applyAlignment="0" applyProtection="0"/>
    <xf numFmtId="0" fontId="22" fillId="0" borderId="3" applyNumberFormat="0" applyFill="0" applyAlignment="0" applyProtection="0"/>
    <xf numFmtId="0" fontId="23" fillId="0" borderId="4" applyNumberFormat="0" applyFill="0" applyAlignment="0" applyProtection="0"/>
    <xf numFmtId="0" fontId="24" fillId="0" borderId="5" applyNumberFormat="0" applyFill="0" applyAlignment="0" applyProtection="0"/>
    <xf numFmtId="0" fontId="24" fillId="0" borderId="0" applyNumberFormat="0" applyFill="0" applyBorder="0" applyAlignment="0" applyProtection="0"/>
    <xf numFmtId="0" fontId="25" fillId="30" borderId="1" applyNumberFormat="0" applyAlignment="0" applyProtection="0"/>
    <xf numFmtId="0" fontId="26" fillId="0" borderId="6" applyNumberFormat="0" applyFill="0" applyAlignment="0" applyProtection="0"/>
    <xf numFmtId="0" fontId="27" fillId="31" borderId="0" applyNumberFormat="0" applyBorder="0" applyAlignment="0" applyProtection="0"/>
    <xf numFmtId="0" fontId="7" fillId="0" borderId="0"/>
    <xf numFmtId="0" fontId="2" fillId="0" borderId="0"/>
    <xf numFmtId="0" fontId="14" fillId="0" borderId="0">
      <alignment vertical="center"/>
    </xf>
    <xf numFmtId="0" fontId="13" fillId="0" borderId="0"/>
    <xf numFmtId="0" fontId="2" fillId="0" borderId="0"/>
    <xf numFmtId="0" fontId="13" fillId="0" borderId="0"/>
    <xf numFmtId="0" fontId="28" fillId="0" borderId="0"/>
    <xf numFmtId="0" fontId="13" fillId="32" borderId="7" applyNumberFormat="0" applyFont="0" applyAlignment="0" applyProtection="0"/>
    <xf numFmtId="0" fontId="29" fillId="27" borderId="8" applyNumberFormat="0" applyAlignment="0" applyProtection="0"/>
    <xf numFmtId="0" fontId="30" fillId="0" borderId="0" applyNumberFormat="0" applyFill="0" applyBorder="0" applyAlignment="0" applyProtection="0"/>
    <xf numFmtId="0" fontId="31" fillId="0" borderId="9" applyNumberFormat="0" applyFill="0" applyAlignment="0" applyProtection="0"/>
    <xf numFmtId="0" fontId="32" fillId="0" borderId="0" applyNumberFormat="0" applyFill="0" applyBorder="0" applyAlignment="0" applyProtection="0"/>
    <xf numFmtId="0" fontId="6" fillId="0" borderId="0"/>
    <xf numFmtId="0" fontId="13" fillId="0" borderId="0"/>
    <xf numFmtId="0" fontId="13" fillId="0" borderId="0"/>
    <xf numFmtId="0" fontId="2" fillId="0" borderId="0"/>
  </cellStyleXfs>
  <cellXfs count="102">
    <xf numFmtId="0" fontId="0" fillId="0" borderId="0" xfId="0"/>
    <xf numFmtId="0" fontId="2" fillId="0" borderId="0" xfId="0" applyFont="1"/>
    <xf numFmtId="0" fontId="1" fillId="0" borderId="0" xfId="0" applyFont="1"/>
    <xf numFmtId="165" fontId="2" fillId="0" borderId="0" xfId="0" applyNumberFormat="1" applyFont="1"/>
    <xf numFmtId="165" fontId="2" fillId="0" borderId="0" xfId="0" applyNumberFormat="1" applyFont="1" applyFill="1" applyBorder="1" applyAlignment="1">
      <alignment horizontal="center"/>
    </xf>
    <xf numFmtId="164" fontId="2" fillId="0" borderId="0" xfId="0" applyNumberFormat="1" applyFont="1"/>
    <xf numFmtId="0" fontId="2" fillId="0" borderId="0" xfId="0" applyFont="1" applyFill="1" applyBorder="1"/>
    <xf numFmtId="1" fontId="5" fillId="0" borderId="0" xfId="0" applyNumberFormat="1" applyFont="1" applyBorder="1" applyAlignment="1">
      <alignment horizontal="center"/>
    </xf>
    <xf numFmtId="0" fontId="33" fillId="0" borderId="0" xfId="0" applyFont="1" applyAlignment="1">
      <alignment horizontal="center" vertical="center" wrapText="1"/>
    </xf>
    <xf numFmtId="0" fontId="2" fillId="0" borderId="0" xfId="0" applyFont="1" applyFill="1" applyBorder="1" applyAlignment="1">
      <alignment horizontal="left" vertical="center"/>
    </xf>
    <xf numFmtId="0" fontId="3" fillId="0" borderId="0" xfId="0" applyFont="1" applyAlignment="1">
      <alignment vertical="center"/>
    </xf>
    <xf numFmtId="0" fontId="0" fillId="0" borderId="0" xfId="0" applyAlignment="1">
      <alignment horizontal="center" vertical="center"/>
    </xf>
    <xf numFmtId="0" fontId="2" fillId="0" borderId="0" xfId="0" applyFont="1" applyFill="1"/>
    <xf numFmtId="0" fontId="0" fillId="0" borderId="0" xfId="0" applyFill="1"/>
    <xf numFmtId="0" fontId="0" fillId="0" borderId="0" xfId="0" applyFill="1" applyBorder="1"/>
    <xf numFmtId="0" fontId="33" fillId="0" borderId="0" xfId="0" applyFont="1" applyAlignment="1">
      <alignment vertical="center"/>
    </xf>
    <xf numFmtId="0" fontId="0" fillId="33" borderId="0" xfId="0" applyFill="1"/>
    <xf numFmtId="0" fontId="34" fillId="0" borderId="0" xfId="0" applyFont="1" applyAlignment="1">
      <alignment vertical="center"/>
    </xf>
    <xf numFmtId="0" fontId="3" fillId="0" borderId="0" xfId="0" applyFont="1"/>
    <xf numFmtId="0" fontId="33" fillId="0" borderId="0" xfId="0" applyFont="1" applyFill="1" applyAlignment="1">
      <alignment vertical="center"/>
    </xf>
    <xf numFmtId="20" fontId="2" fillId="0" borderId="0" xfId="0" applyNumberFormat="1" applyFont="1" applyFill="1"/>
    <xf numFmtId="20" fontId="33" fillId="0" borderId="0" xfId="0" applyNumberFormat="1" applyFont="1" applyFill="1" applyAlignment="1">
      <alignment vertical="center"/>
    </xf>
    <xf numFmtId="0" fontId="33" fillId="0" borderId="0" xfId="0" applyFont="1" applyFill="1" applyAlignment="1">
      <alignment horizontal="left" vertical="center"/>
    </xf>
    <xf numFmtId="20" fontId="33" fillId="0" borderId="0" xfId="0" applyNumberFormat="1" applyFont="1" applyFill="1" applyAlignment="1">
      <alignment horizontal="left" vertical="center"/>
    </xf>
    <xf numFmtId="165" fontId="0" fillId="0" borderId="0" xfId="0" applyNumberFormat="1"/>
    <xf numFmtId="0" fontId="2" fillId="0" borderId="0" xfId="0" applyFont="1" applyAlignment="1">
      <alignment horizontal="center" wrapText="1"/>
    </xf>
    <xf numFmtId="0" fontId="2" fillId="0" borderId="0" xfId="40"/>
    <xf numFmtId="0" fontId="2" fillId="0" borderId="0" xfId="40" applyFill="1"/>
    <xf numFmtId="0" fontId="3" fillId="0" borderId="0" xfId="40" applyFont="1" applyFill="1"/>
    <xf numFmtId="0" fontId="0" fillId="0" borderId="0" xfId="0" applyFont="1" applyFill="1"/>
    <xf numFmtId="0" fontId="3" fillId="0" borderId="0" xfId="0" applyFont="1" applyFill="1"/>
    <xf numFmtId="0" fontId="33" fillId="0" borderId="0" xfId="0" applyFont="1" applyAlignment="1">
      <alignment vertical="center"/>
    </xf>
    <xf numFmtId="0" fontId="33" fillId="0" borderId="0" xfId="0" applyFont="1" applyAlignment="1">
      <alignment horizontal="left" vertical="center" wrapText="1"/>
    </xf>
    <xf numFmtId="0" fontId="33" fillId="0" borderId="0" xfId="0" applyFont="1" applyAlignment="1">
      <alignment vertical="center"/>
    </xf>
    <xf numFmtId="0" fontId="33" fillId="0" borderId="0" xfId="0" applyFont="1" applyAlignment="1">
      <alignment horizontal="left" vertical="center" wrapText="1"/>
    </xf>
    <xf numFmtId="0" fontId="33" fillId="0" borderId="0" xfId="0" applyFont="1" applyAlignment="1">
      <alignment vertical="center"/>
    </xf>
    <xf numFmtId="0" fontId="33" fillId="0" borderId="0" xfId="0" applyFont="1" applyAlignment="1">
      <alignment horizontal="left" vertical="center" wrapText="1"/>
    </xf>
    <xf numFmtId="0" fontId="33" fillId="0" borderId="0" xfId="0" applyFont="1" applyAlignment="1">
      <alignment vertical="center"/>
    </xf>
    <xf numFmtId="167" fontId="33" fillId="0" borderId="0" xfId="0" applyNumberFormat="1" applyFont="1" applyAlignment="1">
      <alignment horizontal="left" vertical="center" wrapText="1"/>
    </xf>
    <xf numFmtId="0" fontId="2" fillId="0" borderId="0" xfId="54" applyFont="1" applyFill="1" applyBorder="1" applyAlignment="1"/>
    <xf numFmtId="2" fontId="0" fillId="0" borderId="0" xfId="0" applyNumberFormat="1"/>
    <xf numFmtId="0" fontId="3" fillId="0" borderId="0" xfId="0" applyFont="1" applyAlignment="1">
      <alignment horizontal="center" wrapText="1"/>
    </xf>
    <xf numFmtId="0" fontId="1" fillId="0" borderId="0" xfId="0" applyFont="1" applyAlignment="1">
      <alignment horizontal="center" vertical="center"/>
    </xf>
    <xf numFmtId="0" fontId="3" fillId="0" borderId="0" xfId="0" applyFont="1" applyAlignment="1">
      <alignment horizontal="left" vertical="center"/>
    </xf>
    <xf numFmtId="165" fontId="0" fillId="0" borderId="0" xfId="0" applyNumberFormat="1" applyFill="1" applyBorder="1"/>
    <xf numFmtId="0" fontId="0" fillId="0" borderId="0" xfId="0" applyFont="1" applyFill="1" applyBorder="1"/>
    <xf numFmtId="0" fontId="3" fillId="0" borderId="0" xfId="0" applyFont="1" applyFill="1" applyBorder="1"/>
    <xf numFmtId="0" fontId="2" fillId="0" borderId="0" xfId="0" applyFont="1" applyAlignment="1">
      <alignment wrapText="1"/>
    </xf>
    <xf numFmtId="164" fontId="0" fillId="0" borderId="0" xfId="0" applyNumberFormat="1"/>
    <xf numFmtId="2" fontId="33" fillId="0" borderId="0" xfId="0" applyNumberFormat="1" applyFont="1" applyBorder="1" applyAlignment="1">
      <alignment horizontal="center" vertical="center"/>
    </xf>
    <xf numFmtId="0" fontId="2" fillId="0" borderId="0" xfId="40" applyFont="1"/>
    <xf numFmtId="0" fontId="2" fillId="0" borderId="0" xfId="0" applyFont="1" applyAlignment="1"/>
    <xf numFmtId="0" fontId="2" fillId="0" borderId="0" xfId="0" applyFont="1" applyAlignment="1">
      <alignment vertical="center" wrapText="1"/>
    </xf>
    <xf numFmtId="0" fontId="2" fillId="0" borderId="0" xfId="0" applyFont="1" applyAlignment="1">
      <alignment horizontal="right" vertical="center" wrapText="1"/>
    </xf>
    <xf numFmtId="0" fontId="35" fillId="0" borderId="0" xfId="0" applyFont="1" applyAlignment="1">
      <alignment horizontal="left" vertical="center"/>
    </xf>
    <xf numFmtId="0" fontId="5" fillId="0" borderId="0" xfId="0" applyFont="1" applyBorder="1" applyAlignment="1">
      <alignment horizontal="left"/>
    </xf>
    <xf numFmtId="0" fontId="2" fillId="0" borderId="0" xfId="0" applyFont="1" applyBorder="1" applyAlignment="1">
      <alignment horizontal="left"/>
    </xf>
    <xf numFmtId="0" fontId="36" fillId="0" borderId="0" xfId="0" applyFont="1" applyAlignment="1">
      <alignment vertical="center"/>
    </xf>
    <xf numFmtId="167" fontId="2" fillId="0" borderId="0" xfId="54" applyNumberFormat="1" applyFont="1" applyFill="1" applyBorder="1" applyAlignment="1">
      <alignment horizontal="center"/>
    </xf>
    <xf numFmtId="0" fontId="33" fillId="0" borderId="0" xfId="0" applyFont="1" applyFill="1" applyAlignment="1">
      <alignment horizontal="left" vertical="center" wrapText="1"/>
    </xf>
    <xf numFmtId="1" fontId="33" fillId="0" borderId="0" xfId="0" applyNumberFormat="1" applyFont="1" applyFill="1" applyAlignment="1">
      <alignment horizontal="center" vertical="center"/>
    </xf>
    <xf numFmtId="1" fontId="0" fillId="0" borderId="0" xfId="0" applyNumberFormat="1" applyFill="1" applyAlignment="1">
      <alignment horizontal="center" vertical="center"/>
    </xf>
    <xf numFmtId="164" fontId="33" fillId="0" borderId="0" xfId="0" applyNumberFormat="1" applyFont="1" applyFill="1" applyAlignment="1">
      <alignment horizontal="left" vertical="center" wrapText="1"/>
    </xf>
    <xf numFmtId="164" fontId="33" fillId="0" borderId="0" xfId="0" applyNumberFormat="1" applyFont="1" applyFill="1" applyAlignment="1">
      <alignment vertical="center"/>
    </xf>
    <xf numFmtId="164" fontId="0" fillId="0" borderId="0" xfId="0" applyNumberFormat="1" applyFill="1"/>
    <xf numFmtId="167" fontId="0" fillId="0" borderId="0" xfId="0" applyNumberFormat="1" applyFill="1"/>
    <xf numFmtId="0" fontId="0" fillId="0" borderId="0" xfId="0" applyFill="1" applyAlignment="1">
      <alignment horizontal="center" vertical="center"/>
    </xf>
    <xf numFmtId="167" fontId="33" fillId="0" borderId="0" xfId="0" applyNumberFormat="1" applyFont="1" applyFill="1" applyAlignment="1">
      <alignment horizontal="left" vertical="center" wrapText="1"/>
    </xf>
    <xf numFmtId="0" fontId="33" fillId="0" borderId="0" xfId="0" applyFont="1" applyFill="1" applyAlignment="1">
      <alignment horizontal="center" vertical="center" wrapText="1"/>
    </xf>
    <xf numFmtId="168" fontId="33" fillId="0" borderId="0" xfId="0" applyNumberFormat="1" applyFont="1" applyFill="1" applyAlignment="1">
      <alignment horizontal="center" vertical="center"/>
    </xf>
    <xf numFmtId="0" fontId="33" fillId="0" borderId="0" xfId="0" applyFont="1" applyFill="1" applyAlignment="1">
      <alignment horizontal="center" vertical="center"/>
    </xf>
    <xf numFmtId="166" fontId="33" fillId="0" borderId="0" xfId="0" applyNumberFormat="1" applyFont="1" applyFill="1" applyAlignment="1">
      <alignment horizontal="center" vertical="center"/>
    </xf>
    <xf numFmtId="168" fontId="2" fillId="0" borderId="0" xfId="54" applyNumberFormat="1" applyFont="1" applyFill="1" applyBorder="1" applyAlignment="1">
      <alignment horizontal="center"/>
    </xf>
    <xf numFmtId="0" fontId="34" fillId="0" borderId="0" xfId="0" applyFont="1" applyAlignment="1">
      <alignment horizontal="left" vertical="center"/>
    </xf>
    <xf numFmtId="0" fontId="2" fillId="0" borderId="0" xfId="0" applyFont="1" applyFill="1" applyAlignment="1">
      <alignment horizontal="left"/>
    </xf>
    <xf numFmtId="0" fontId="2" fillId="0" borderId="0" xfId="0" applyFont="1" applyFill="1" applyAlignment="1">
      <alignment horizontal="center" wrapText="1"/>
    </xf>
    <xf numFmtId="0" fontId="2" fillId="0" borderId="0" xfId="0" applyFont="1" applyBorder="1" applyAlignment="1"/>
    <xf numFmtId="0" fontId="5" fillId="0" borderId="0" xfId="0" applyFont="1" applyBorder="1" applyAlignment="1"/>
    <xf numFmtId="0" fontId="0" fillId="0" borderId="0" xfId="0" applyFill="1" applyAlignment="1">
      <alignment wrapText="1"/>
    </xf>
    <xf numFmtId="0" fontId="0" fillId="0" borderId="0" xfId="0" applyFill="1" applyAlignment="1">
      <alignment vertical="top" wrapText="1"/>
    </xf>
    <xf numFmtId="0" fontId="4" fillId="0" borderId="0" xfId="0" applyFont="1" applyFill="1" applyAlignment="1">
      <alignment vertical="top" wrapText="1"/>
    </xf>
    <xf numFmtId="0" fontId="4" fillId="0" borderId="0" xfId="0" applyFont="1" applyFill="1" applyAlignment="1">
      <alignment vertical="top"/>
    </xf>
    <xf numFmtId="0" fontId="1" fillId="0" borderId="0" xfId="0" applyFont="1" applyFill="1"/>
    <xf numFmtId="0" fontId="0" fillId="0" borderId="0" xfId="0" applyFill="1" applyAlignment="1">
      <alignment vertical="top"/>
    </xf>
    <xf numFmtId="0" fontId="4" fillId="0" borderId="0" xfId="0" applyFont="1" applyFill="1" applyAlignment="1"/>
    <xf numFmtId="0" fontId="0" fillId="0" borderId="0" xfId="0" applyFill="1" applyAlignment="1"/>
    <xf numFmtId="0" fontId="1" fillId="0" borderId="0" xfId="0" applyFont="1" applyFill="1" applyBorder="1" applyAlignment="1">
      <alignment horizontal="left" vertical="center"/>
    </xf>
    <xf numFmtId="0" fontId="2" fillId="0" borderId="0" xfId="0" applyFont="1" applyFill="1" applyBorder="1" applyAlignment="1">
      <alignment horizontal="left" vertical="center"/>
    </xf>
    <xf numFmtId="0" fontId="2" fillId="0" borderId="0" xfId="0" applyFont="1" applyAlignment="1">
      <alignment horizontal="center" wrapText="1"/>
    </xf>
    <xf numFmtId="0" fontId="3" fillId="0" borderId="0" xfId="0" applyFont="1" applyAlignment="1">
      <alignment horizontal="center" wrapText="1"/>
    </xf>
    <xf numFmtId="0" fontId="1" fillId="0" borderId="0" xfId="0" applyFont="1" applyAlignment="1">
      <alignment horizontal="center" vertical="center"/>
    </xf>
    <xf numFmtId="0" fontId="2" fillId="0" borderId="0" xfId="0" applyFont="1" applyAlignment="1">
      <alignment horizontal="center"/>
    </xf>
    <xf numFmtId="0" fontId="2" fillId="0" borderId="0" xfId="0" applyFont="1" applyAlignment="1">
      <alignment vertical="center"/>
    </xf>
    <xf numFmtId="0" fontId="2" fillId="0" borderId="0" xfId="0" applyFont="1" applyAlignment="1">
      <alignment horizontal="center" vertical="center"/>
    </xf>
    <xf numFmtId="0" fontId="0" fillId="0" borderId="0" xfId="0" applyAlignment="1">
      <alignment horizontal="center" wrapText="1"/>
    </xf>
    <xf numFmtId="0" fontId="0" fillId="0" borderId="0" xfId="0" applyAlignment="1">
      <alignment horizontal="center" vertical="center"/>
    </xf>
    <xf numFmtId="0" fontId="2" fillId="0" borderId="0" xfId="0" applyFont="1" applyBorder="1" applyAlignment="1">
      <alignment horizontal="left"/>
    </xf>
    <xf numFmtId="0" fontId="5" fillId="0" borderId="0" xfId="0" applyFont="1" applyBorder="1" applyAlignment="1">
      <alignment horizontal="left"/>
    </xf>
    <xf numFmtId="0" fontId="0" fillId="0" borderId="0" xfId="0" applyAlignment="1">
      <alignment horizontal="center"/>
    </xf>
    <xf numFmtId="0" fontId="2" fillId="0" borderId="0" xfId="0" applyFont="1" applyFill="1" applyAlignment="1">
      <alignment horizontal="left" vertical="top" wrapText="1"/>
    </xf>
    <xf numFmtId="0" fontId="33" fillId="0" borderId="0" xfId="41" applyFont="1" applyAlignment="1">
      <alignment horizontal="left" vertical="top" wrapText="1"/>
    </xf>
    <xf numFmtId="0" fontId="2" fillId="0" borderId="0" xfId="0" applyFont="1" applyAlignment="1">
      <alignment horizontal="left" vertical="top" wrapText="1"/>
    </xf>
  </cellXfs>
  <cellStyles count="55">
    <cellStyle name="20% - Accent1" xfId="1" builtinId="30" customBuiltin="1"/>
    <cellStyle name="20% - Accent2" xfId="2" builtinId="34" customBuiltin="1"/>
    <cellStyle name="20% - Accent3" xfId="3" builtinId="38" customBuiltin="1"/>
    <cellStyle name="20% - Accent3 2" xfId="4"/>
    <cellStyle name="20% - Accent4" xfId="5" builtinId="42" customBuiltin="1"/>
    <cellStyle name="20% - Accent5" xfId="6" builtinId="46" customBuiltin="1"/>
    <cellStyle name="20% - Accent6" xfId="7" builtinId="50" customBuiltin="1"/>
    <cellStyle name="40% - Accent1" xfId="8" builtinId="31" customBuiltin="1"/>
    <cellStyle name="40% - Accent2" xfId="9" builtinId="35" customBuiltin="1"/>
    <cellStyle name="40% - Accent3" xfId="10" builtinId="39" customBuiltin="1"/>
    <cellStyle name="40% - Accent4" xfId="11" builtinId="43" customBuiltin="1"/>
    <cellStyle name="40% - Accent5" xfId="12" builtinId="47" customBuiltin="1"/>
    <cellStyle name="40% - Accent6" xfId="13" builtinId="51" customBuiltin="1"/>
    <cellStyle name="60% - Accent1" xfId="14" builtinId="32" customBuiltin="1"/>
    <cellStyle name="60% - Accent2" xfId="15" builtinId="36" customBuiltin="1"/>
    <cellStyle name="60% - Accent3" xfId="16" builtinId="40" customBuiltin="1"/>
    <cellStyle name="60% - Accent4" xfId="17" builtinId="44" customBuiltin="1"/>
    <cellStyle name="60% - Accent5" xfId="18" builtinId="48" customBuiltin="1"/>
    <cellStyle name="60% - Accent6" xfId="19" builtinId="52" customBuiltin="1"/>
    <cellStyle name="Accent1" xfId="20" builtinId="29" customBuiltin="1"/>
    <cellStyle name="Accent2" xfId="21" builtinId="33" customBuiltin="1"/>
    <cellStyle name="Accent3" xfId="22" builtinId="37" customBuiltin="1"/>
    <cellStyle name="Accent4" xfId="23" builtinId="41" customBuiltin="1"/>
    <cellStyle name="Accent5" xfId="24" builtinId="45" customBuiltin="1"/>
    <cellStyle name="Accent6" xfId="25" builtinId="49" customBuiltin="1"/>
    <cellStyle name="Bad" xfId="26" builtinId="27" customBuiltin="1"/>
    <cellStyle name="Calculation" xfId="27" builtinId="22" customBuiltin="1"/>
    <cellStyle name="Check Cell" xfId="28" builtinId="23" customBuiltin="1"/>
    <cellStyle name="Check Cell 2" xfId="29"/>
    <cellStyle name="Explanatory Text" xfId="30" builtinId="53" customBuiltin="1"/>
    <cellStyle name="Good" xfId="31" builtinId="26" customBuiltin="1"/>
    <cellStyle name="Heading 1" xfId="32" builtinId="16" customBuiltin="1"/>
    <cellStyle name="Heading 2" xfId="33" builtinId="17" customBuiltin="1"/>
    <cellStyle name="Heading 3" xfId="34" builtinId="18" customBuiltin="1"/>
    <cellStyle name="Heading 4" xfId="35" builtinId="19" customBuiltin="1"/>
    <cellStyle name="Input" xfId="36" builtinId="20" customBuiltin="1"/>
    <cellStyle name="Linked Cell" xfId="37" builtinId="24" customBuiltin="1"/>
    <cellStyle name="Neutral" xfId="38" builtinId="28" customBuiltin="1"/>
    <cellStyle name="Normal" xfId="0" builtinId="0"/>
    <cellStyle name="Normal 2" xfId="39"/>
    <cellStyle name="Normal 2 2" xfId="40"/>
    <cellStyle name="Normal 3" xfId="41"/>
    <cellStyle name="Normal 3 2" xfId="42"/>
    <cellStyle name="Normal 4" xfId="43"/>
    <cellStyle name="Normal 6" xfId="44"/>
    <cellStyle name="Normal 7" xfId="45"/>
    <cellStyle name="Note 2" xfId="46"/>
    <cellStyle name="Output" xfId="47" builtinId="21" customBuiltin="1"/>
    <cellStyle name="Title" xfId="48" builtinId="15" customBuiltin="1"/>
    <cellStyle name="Total" xfId="49" builtinId="25" customBuiltin="1"/>
    <cellStyle name="Warning Text" xfId="50" builtinId="11" customBuiltin="1"/>
    <cellStyle name="표준 2" xfId="51"/>
    <cellStyle name="표준 2 2" xfId="52"/>
    <cellStyle name="표준 3" xfId="53"/>
    <cellStyle name="표준 3 2" xfId="54"/>
  </cellStyles>
  <dxfs count="3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6"/>
  <sheetViews>
    <sheetView tabSelected="1" workbookViewId="0">
      <selection activeCell="D12" sqref="D12"/>
    </sheetView>
  </sheetViews>
  <sheetFormatPr defaultRowHeight="12.75"/>
  <sheetData>
    <row r="1" spans="1:17">
      <c r="A1" s="88" t="s">
        <v>647</v>
      </c>
      <c r="B1" s="88"/>
      <c r="C1" s="88"/>
      <c r="D1" s="88"/>
      <c r="E1" s="88"/>
      <c r="F1" s="88"/>
      <c r="G1" s="88"/>
      <c r="H1" s="88"/>
      <c r="I1" s="88"/>
      <c r="J1" s="88"/>
      <c r="K1" s="88"/>
      <c r="L1" s="88"/>
      <c r="M1" s="88"/>
      <c r="N1" s="88"/>
      <c r="O1" s="88"/>
      <c r="P1" s="88"/>
      <c r="Q1" s="88"/>
    </row>
    <row r="2" spans="1:17">
      <c r="A2" s="88"/>
      <c r="B2" s="88"/>
      <c r="C2" s="88"/>
      <c r="D2" s="88"/>
      <c r="E2" s="88"/>
      <c r="F2" s="88"/>
      <c r="G2" s="88"/>
      <c r="H2" s="88"/>
      <c r="I2" s="88"/>
      <c r="J2" s="88"/>
      <c r="K2" s="88"/>
      <c r="L2" s="88"/>
      <c r="M2" s="88"/>
      <c r="N2" s="88"/>
      <c r="O2" s="88"/>
      <c r="P2" s="88"/>
      <c r="Q2" s="88"/>
    </row>
    <row r="3" spans="1:17">
      <c r="A3" s="88"/>
      <c r="B3" s="88"/>
      <c r="C3" s="88"/>
      <c r="D3" s="88"/>
      <c r="E3" s="88"/>
      <c r="F3" s="88"/>
      <c r="G3" s="88"/>
      <c r="H3" s="88"/>
      <c r="I3" s="88"/>
      <c r="J3" s="88"/>
      <c r="K3" s="88"/>
      <c r="L3" s="88"/>
      <c r="M3" s="88"/>
      <c r="N3" s="88"/>
      <c r="O3" s="88"/>
      <c r="P3" s="88"/>
      <c r="Q3" s="88"/>
    </row>
    <row r="5" spans="1:17">
      <c r="A5" s="2" t="s">
        <v>481</v>
      </c>
    </row>
    <row r="6" spans="1:17">
      <c r="A6" s="1"/>
    </row>
    <row r="7" spans="1:17">
      <c r="A7" s="88" t="s">
        <v>668</v>
      </c>
      <c r="B7" s="88"/>
      <c r="C7" s="88"/>
      <c r="D7" s="88"/>
      <c r="E7" s="88"/>
      <c r="F7" s="88"/>
      <c r="G7" s="88"/>
      <c r="H7" s="88"/>
      <c r="I7" s="88"/>
      <c r="J7" s="88"/>
      <c r="K7" s="88"/>
      <c r="L7" s="88"/>
      <c r="M7" s="88"/>
      <c r="N7" s="88"/>
      <c r="O7" s="88"/>
      <c r="P7" s="88"/>
      <c r="Q7" s="88"/>
    </row>
    <row r="8" spans="1:17">
      <c r="A8" s="88"/>
      <c r="B8" s="88"/>
      <c r="C8" s="88"/>
      <c r="D8" s="88"/>
      <c r="E8" s="88"/>
      <c r="F8" s="88"/>
      <c r="G8" s="88"/>
      <c r="H8" s="88"/>
      <c r="I8" s="88"/>
      <c r="J8" s="88"/>
      <c r="K8" s="88"/>
      <c r="L8" s="88"/>
      <c r="M8" s="88"/>
      <c r="N8" s="88"/>
      <c r="O8" s="88"/>
      <c r="P8" s="88"/>
      <c r="Q8" s="88"/>
    </row>
    <row r="9" spans="1:17">
      <c r="A9" s="1"/>
      <c r="C9" s="1" t="s">
        <v>485</v>
      </c>
    </row>
    <row r="10" spans="1:17">
      <c r="A10" s="18" t="s">
        <v>482</v>
      </c>
      <c r="C10">
        <v>0.2</v>
      </c>
      <c r="E10" s="1" t="s">
        <v>486</v>
      </c>
    </row>
    <row r="11" spans="1:17">
      <c r="A11" s="18" t="s">
        <v>483</v>
      </c>
      <c r="C11">
        <v>0.03</v>
      </c>
      <c r="E11" s="1" t="s">
        <v>487</v>
      </c>
    </row>
    <row r="12" spans="1:17">
      <c r="A12" s="18" t="s">
        <v>484</v>
      </c>
      <c r="C12">
        <v>0.09</v>
      </c>
      <c r="E12" s="1" t="s">
        <v>488</v>
      </c>
    </row>
    <row r="13" spans="1:17">
      <c r="A13" s="89" t="s">
        <v>489</v>
      </c>
      <c r="B13" s="89"/>
      <c r="C13" s="90">
        <f>SUM(C10:C12)</f>
        <v>0.32</v>
      </c>
      <c r="E13" s="1"/>
    </row>
    <row r="14" spans="1:17">
      <c r="A14" s="89"/>
      <c r="B14" s="89"/>
      <c r="C14" s="90"/>
      <c r="E14" s="1"/>
    </row>
    <row r="15" spans="1:17">
      <c r="A15" s="41"/>
      <c r="B15" s="41"/>
      <c r="C15" s="42"/>
      <c r="E15" s="1"/>
    </row>
    <row r="16" spans="1:17">
      <c r="A16" s="43" t="s">
        <v>649</v>
      </c>
      <c r="B16" s="41"/>
      <c r="C16" s="42"/>
      <c r="E16" s="1"/>
    </row>
    <row r="17" spans="1:17">
      <c r="A17" s="41"/>
      <c r="B17" s="41"/>
      <c r="C17" s="42"/>
      <c r="E17" s="1"/>
      <c r="G17" s="14"/>
      <c r="H17" s="14"/>
      <c r="I17" s="14"/>
      <c r="J17" s="14"/>
      <c r="K17" s="14"/>
      <c r="L17" s="14"/>
      <c r="M17" s="14"/>
      <c r="N17" s="14"/>
      <c r="O17" s="14"/>
      <c r="P17" s="14"/>
      <c r="Q17" s="14"/>
    </row>
    <row r="18" spans="1:17">
      <c r="A18" s="1" t="s">
        <v>52</v>
      </c>
      <c r="B18" s="4">
        <v>0.41199999999999998</v>
      </c>
      <c r="G18" s="14"/>
      <c r="H18" s="6"/>
      <c r="I18" s="4"/>
      <c r="J18" s="14"/>
      <c r="K18" s="14"/>
      <c r="L18" s="14"/>
      <c r="M18" s="14"/>
      <c r="N18" s="14"/>
      <c r="O18" s="14"/>
      <c r="P18" s="14"/>
      <c r="Q18" s="14"/>
    </row>
    <row r="19" spans="1:17">
      <c r="A19" s="1" t="s">
        <v>34</v>
      </c>
      <c r="B19" s="4">
        <v>3.5999999999999997E-2</v>
      </c>
      <c r="G19" s="14"/>
      <c r="H19" s="6"/>
      <c r="I19" s="4"/>
      <c r="J19" s="14"/>
      <c r="K19" s="14"/>
      <c r="L19" s="14"/>
      <c r="M19" s="14"/>
      <c r="N19" s="14"/>
      <c r="O19" s="14"/>
      <c r="P19" s="14"/>
      <c r="Q19" s="14"/>
    </row>
    <row r="20" spans="1:17">
      <c r="A20" s="1" t="s">
        <v>35</v>
      </c>
      <c r="B20" s="4">
        <v>0.16700000000000001</v>
      </c>
      <c r="G20" s="14"/>
      <c r="H20" s="6"/>
      <c r="I20" s="4"/>
      <c r="J20" s="14"/>
      <c r="K20" s="14"/>
      <c r="L20" s="14"/>
      <c r="M20" s="14"/>
      <c r="N20" s="14"/>
      <c r="O20" s="14"/>
      <c r="P20" s="14"/>
      <c r="Q20" s="14"/>
    </row>
    <row r="21" spans="1:17">
      <c r="A21" s="1" t="s">
        <v>480</v>
      </c>
      <c r="B21" s="4">
        <v>0.03</v>
      </c>
      <c r="G21" s="14"/>
      <c r="H21" s="6"/>
      <c r="I21" s="4"/>
      <c r="J21" s="14"/>
      <c r="K21" s="14"/>
      <c r="L21" s="14"/>
      <c r="M21" s="14"/>
      <c r="N21" s="14"/>
      <c r="O21" s="14"/>
      <c r="P21" s="14"/>
      <c r="Q21" s="14"/>
    </row>
    <row r="22" spans="1:17">
      <c r="A22" s="1" t="s">
        <v>490</v>
      </c>
      <c r="B22" s="4">
        <f>SUM(B18:B21)</f>
        <v>0.64500000000000002</v>
      </c>
      <c r="G22" s="14"/>
      <c r="H22" s="14"/>
      <c r="I22" s="14"/>
      <c r="J22" s="14"/>
      <c r="K22" s="14"/>
      <c r="L22" s="14"/>
      <c r="M22" s="14"/>
      <c r="N22" s="87"/>
      <c r="O22" s="87"/>
      <c r="P22" s="4"/>
      <c r="Q22" s="14"/>
    </row>
    <row r="23" spans="1:17">
      <c r="A23" s="1"/>
      <c r="B23" s="4"/>
      <c r="G23" s="14"/>
      <c r="H23" s="14"/>
      <c r="I23" s="14"/>
      <c r="J23" s="14"/>
      <c r="K23" s="14"/>
      <c r="L23" s="14"/>
      <c r="M23" s="14"/>
      <c r="N23" s="87"/>
      <c r="O23" s="87"/>
      <c r="P23" s="4"/>
      <c r="Q23" s="14"/>
    </row>
    <row r="24" spans="1:17">
      <c r="A24" s="18" t="s">
        <v>491</v>
      </c>
      <c r="G24" s="14"/>
      <c r="H24" s="14"/>
      <c r="I24" s="14"/>
      <c r="J24" s="14"/>
      <c r="K24" s="14"/>
      <c r="L24" s="14"/>
      <c r="M24" s="14"/>
      <c r="N24" s="87"/>
      <c r="O24" s="87"/>
      <c r="P24" s="4"/>
      <c r="Q24" s="14"/>
    </row>
    <row r="25" spans="1:17">
      <c r="A25" s="18"/>
      <c r="B25" s="1" t="s">
        <v>492</v>
      </c>
      <c r="C25" s="1"/>
      <c r="G25" s="14"/>
      <c r="H25" s="14"/>
      <c r="I25" s="14"/>
      <c r="J25" s="14"/>
      <c r="K25" s="14"/>
      <c r="L25" s="14"/>
      <c r="M25" s="14"/>
      <c r="N25" s="87"/>
      <c r="O25" s="87"/>
      <c r="P25" s="4"/>
      <c r="Q25" s="14"/>
    </row>
    <row r="26" spans="1:17">
      <c r="A26" s="1" t="s">
        <v>52</v>
      </c>
      <c r="B26" s="24">
        <f>(1-$C$13)*B18/$B$22</f>
        <v>0.43435658914728675</v>
      </c>
      <c r="G26" s="14"/>
      <c r="H26" s="14"/>
      <c r="I26" s="14"/>
      <c r="J26" s="14"/>
      <c r="K26" s="14"/>
      <c r="L26" s="14"/>
      <c r="M26" s="14"/>
      <c r="N26" s="9"/>
      <c r="O26" s="9"/>
      <c r="P26" s="4"/>
      <c r="Q26" s="14"/>
    </row>
    <row r="27" spans="1:17">
      <c r="A27" s="1" t="s">
        <v>34</v>
      </c>
      <c r="B27" s="24">
        <f>(1-$C$13)*B19/$B$22</f>
        <v>3.7953488372093017E-2</v>
      </c>
      <c r="G27" s="14"/>
      <c r="H27" s="14"/>
      <c r="I27" s="14"/>
      <c r="J27" s="14"/>
      <c r="K27" s="14"/>
      <c r="L27" s="14"/>
      <c r="M27" s="14"/>
      <c r="N27" s="9"/>
      <c r="O27" s="9"/>
      <c r="P27" s="4"/>
      <c r="Q27" s="14"/>
    </row>
    <row r="28" spans="1:17">
      <c r="A28" s="1" t="s">
        <v>35</v>
      </c>
      <c r="B28" s="24">
        <f>(1-$C$13)*B20/$B$22</f>
        <v>0.17606201550387596</v>
      </c>
      <c r="G28" s="14"/>
      <c r="H28" s="14"/>
      <c r="I28" s="14"/>
      <c r="J28" s="14"/>
      <c r="K28" s="14"/>
      <c r="L28" s="14"/>
      <c r="M28" s="14"/>
      <c r="N28" s="9"/>
      <c r="O28" s="9"/>
      <c r="P28" s="4"/>
      <c r="Q28" s="14"/>
    </row>
    <row r="29" spans="1:17">
      <c r="A29" s="1" t="s">
        <v>480</v>
      </c>
      <c r="B29" s="24">
        <f>(1-$C$13)*B21/$B$22</f>
        <v>3.1627906976744183E-2</v>
      </c>
      <c r="G29" s="14"/>
      <c r="H29" s="14"/>
      <c r="I29" s="14"/>
      <c r="J29" s="14"/>
      <c r="K29" s="14"/>
      <c r="L29" s="14"/>
      <c r="M29" s="14"/>
      <c r="N29" s="9"/>
      <c r="O29" s="9"/>
      <c r="P29" s="4"/>
      <c r="Q29" s="14"/>
    </row>
    <row r="30" spans="1:17">
      <c r="A30" s="1" t="s">
        <v>490</v>
      </c>
      <c r="B30">
        <f>SUM(B26:B29)</f>
        <v>0.67999999999999994</v>
      </c>
      <c r="G30" s="14"/>
      <c r="H30" s="14"/>
      <c r="I30" s="14"/>
      <c r="J30" s="14"/>
      <c r="K30" s="14"/>
      <c r="L30" s="14"/>
      <c r="M30" s="14"/>
      <c r="N30" s="9"/>
      <c r="O30" s="9"/>
      <c r="P30" s="4"/>
      <c r="Q30" s="14"/>
    </row>
    <row r="31" spans="1:17">
      <c r="A31" s="18"/>
      <c r="G31" s="14"/>
      <c r="H31" s="14"/>
      <c r="I31" s="14"/>
      <c r="J31" s="14"/>
      <c r="K31" s="14"/>
      <c r="L31" s="14"/>
      <c r="M31" s="14"/>
      <c r="N31" s="9"/>
      <c r="O31" s="9"/>
      <c r="P31" s="4"/>
      <c r="Q31" s="14"/>
    </row>
    <row r="32" spans="1:17">
      <c r="A32" s="18" t="s">
        <v>493</v>
      </c>
      <c r="G32" s="14"/>
      <c r="H32" s="14"/>
      <c r="I32" s="14"/>
      <c r="J32" s="14"/>
      <c r="K32" s="14"/>
      <c r="L32" s="14"/>
      <c r="M32" s="14"/>
      <c r="N32" s="87"/>
      <c r="O32" s="87"/>
      <c r="P32" s="4"/>
      <c r="Q32" s="14"/>
    </row>
    <row r="33" spans="1:17">
      <c r="A33" s="14"/>
      <c r="B33" s="6" t="s">
        <v>426</v>
      </c>
      <c r="C33" s="6" t="s">
        <v>427</v>
      </c>
      <c r="D33" s="6" t="s">
        <v>579</v>
      </c>
      <c r="E33" s="14"/>
      <c r="F33" s="14"/>
      <c r="G33" s="14"/>
      <c r="H33" s="86"/>
      <c r="I33" s="86"/>
      <c r="J33" s="4"/>
      <c r="K33" s="14"/>
    </row>
    <row r="34" spans="1:17">
      <c r="A34" s="45" t="s">
        <v>52</v>
      </c>
      <c r="B34" s="14">
        <v>0.434</v>
      </c>
      <c r="C34" s="14" t="s">
        <v>611</v>
      </c>
      <c r="D34" s="14" t="s">
        <v>50</v>
      </c>
      <c r="E34" s="14"/>
      <c r="F34" s="14"/>
      <c r="G34" s="14"/>
      <c r="H34" s="86"/>
      <c r="I34" s="86"/>
      <c r="J34" s="4"/>
      <c r="K34" s="14"/>
    </row>
    <row r="35" spans="1:17">
      <c r="A35" s="45" t="s">
        <v>34</v>
      </c>
      <c r="B35" s="14">
        <v>3.7999999999999999E-2</v>
      </c>
      <c r="C35" s="14" t="s">
        <v>612</v>
      </c>
      <c r="D35" s="14" t="s">
        <v>34</v>
      </c>
      <c r="E35" s="14"/>
      <c r="F35" s="14"/>
      <c r="G35" s="14"/>
      <c r="H35" s="14"/>
      <c r="I35" s="14"/>
      <c r="J35" s="44"/>
      <c r="K35" s="14"/>
    </row>
    <row r="36" spans="1:17">
      <c r="A36" s="45" t="s">
        <v>35</v>
      </c>
      <c r="B36" s="14">
        <v>0.17599999999999999</v>
      </c>
      <c r="C36" s="14" t="s">
        <v>613</v>
      </c>
      <c r="D36" s="14" t="s">
        <v>35</v>
      </c>
      <c r="E36" s="14"/>
      <c r="F36" s="14"/>
      <c r="G36" s="14"/>
      <c r="H36" s="14"/>
      <c r="I36" s="14"/>
      <c r="J36" s="14"/>
      <c r="K36" s="14"/>
    </row>
    <row r="37" spans="1:17">
      <c r="A37" s="45" t="s">
        <v>494</v>
      </c>
      <c r="B37" s="14">
        <v>3.2000000000000001E-2</v>
      </c>
      <c r="C37" s="1" t="s">
        <v>623</v>
      </c>
      <c r="D37" t="s">
        <v>494</v>
      </c>
      <c r="G37" s="14"/>
      <c r="H37" s="14"/>
      <c r="I37" s="14"/>
      <c r="J37" s="14"/>
      <c r="K37" s="14"/>
      <c r="L37" s="14"/>
      <c r="M37" s="14"/>
      <c r="N37" s="14"/>
      <c r="O37" s="14"/>
      <c r="P37" s="14"/>
      <c r="Q37" s="14"/>
    </row>
    <row r="38" spans="1:17">
      <c r="A38" s="45" t="s">
        <v>28</v>
      </c>
      <c r="B38" s="14">
        <v>0.2</v>
      </c>
      <c r="C38" s="1" t="s">
        <v>622</v>
      </c>
      <c r="D38" s="1" t="s">
        <v>617</v>
      </c>
      <c r="G38" s="14"/>
      <c r="H38" s="14"/>
      <c r="I38" s="14"/>
      <c r="J38" s="14"/>
      <c r="K38" s="14"/>
      <c r="L38" s="14"/>
      <c r="M38" s="14"/>
      <c r="N38" s="14"/>
      <c r="O38" s="14"/>
      <c r="P38" s="14"/>
      <c r="Q38" s="14"/>
    </row>
    <row r="39" spans="1:17">
      <c r="A39" s="45" t="s">
        <v>495</v>
      </c>
      <c r="B39" s="14">
        <v>0.03</v>
      </c>
      <c r="C39" t="s">
        <v>615</v>
      </c>
      <c r="D39" t="s">
        <v>614</v>
      </c>
      <c r="G39" s="14"/>
      <c r="H39" s="14"/>
      <c r="I39" s="14"/>
      <c r="J39" s="14"/>
      <c r="K39" s="14"/>
      <c r="L39" s="14"/>
      <c r="M39" s="14"/>
      <c r="N39" s="14"/>
      <c r="O39" s="14"/>
      <c r="P39" s="14"/>
      <c r="Q39" s="14"/>
    </row>
    <row r="40" spans="1:17">
      <c r="A40" s="45" t="s">
        <v>29</v>
      </c>
      <c r="B40" s="14">
        <v>0.09</v>
      </c>
      <c r="G40" s="14"/>
      <c r="H40" s="14"/>
      <c r="I40" s="14"/>
      <c r="J40" s="14"/>
      <c r="K40" s="14"/>
      <c r="L40" s="14"/>
      <c r="M40" s="14"/>
      <c r="N40" s="14"/>
      <c r="O40" s="14"/>
      <c r="P40" s="14"/>
      <c r="Q40" s="14"/>
    </row>
    <row r="41" spans="1:17">
      <c r="A41" s="46" t="s">
        <v>496</v>
      </c>
      <c r="B41" s="2">
        <f>SUM(B34:B40)</f>
        <v>0.99999999999999989</v>
      </c>
      <c r="G41" s="14"/>
      <c r="H41" s="14"/>
      <c r="I41" s="14"/>
      <c r="J41" s="14"/>
      <c r="K41" s="14"/>
      <c r="L41" s="14"/>
      <c r="M41" s="14"/>
      <c r="N41" s="14"/>
      <c r="O41" s="14"/>
      <c r="P41" s="14"/>
      <c r="Q41" s="14"/>
    </row>
    <row r="42" spans="1:17">
      <c r="G42" s="14"/>
      <c r="H42" s="14"/>
      <c r="I42" s="14"/>
      <c r="J42" s="14"/>
      <c r="K42" s="14"/>
      <c r="L42" s="14"/>
      <c r="M42" s="14"/>
      <c r="N42" s="14"/>
      <c r="O42" s="14"/>
      <c r="P42" s="14"/>
      <c r="Q42" s="14"/>
    </row>
    <row r="43" spans="1:17">
      <c r="A43" s="18" t="s">
        <v>610</v>
      </c>
      <c r="G43" s="14"/>
      <c r="H43" s="14"/>
      <c r="I43" s="14"/>
      <c r="J43" s="14"/>
      <c r="K43" s="14"/>
      <c r="L43" s="14"/>
      <c r="M43" s="14"/>
      <c r="N43" s="14"/>
      <c r="O43" s="14"/>
      <c r="P43" s="14"/>
      <c r="Q43" s="14"/>
    </row>
    <row r="45" spans="1:17">
      <c r="A45" s="1" t="s">
        <v>624</v>
      </c>
      <c r="B45" t="s">
        <v>136</v>
      </c>
      <c r="C45" t="s">
        <v>133</v>
      </c>
      <c r="E45" s="1" t="s">
        <v>625</v>
      </c>
      <c r="F45" t="s">
        <v>134</v>
      </c>
      <c r="G45" t="s">
        <v>134</v>
      </c>
      <c r="H45" t="s">
        <v>135</v>
      </c>
      <c r="I45" s="1" t="s">
        <v>626</v>
      </c>
      <c r="J45" s="1" t="s">
        <v>627</v>
      </c>
    </row>
    <row r="46" spans="1:17">
      <c r="B46" s="1"/>
      <c r="C46" s="1"/>
    </row>
  </sheetData>
  <mergeCells count="11">
    <mergeCell ref="A1:Q3"/>
    <mergeCell ref="A7:Q8"/>
    <mergeCell ref="A13:B14"/>
    <mergeCell ref="C13:C14"/>
    <mergeCell ref="N22:O22"/>
    <mergeCell ref="H34:I34"/>
    <mergeCell ref="N23:O23"/>
    <mergeCell ref="N24:O24"/>
    <mergeCell ref="N25:O25"/>
    <mergeCell ref="N32:O32"/>
    <mergeCell ref="H33:I3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3"/>
  <sheetViews>
    <sheetView topLeftCell="A78" zoomScale="85" zoomScaleNormal="85" workbookViewId="0">
      <selection activeCell="A87" sqref="A87:XFD113"/>
    </sheetView>
  </sheetViews>
  <sheetFormatPr defaultRowHeight="12.75"/>
  <cols>
    <col min="1" max="1" width="15.42578125" customWidth="1"/>
    <col min="5" max="5" width="38.7109375" customWidth="1"/>
  </cols>
  <sheetData>
    <row r="1" spans="1:2">
      <c r="A1" s="1" t="s">
        <v>629</v>
      </c>
    </row>
    <row r="3" spans="1:2">
      <c r="A3" s="2" t="s">
        <v>46</v>
      </c>
    </row>
    <row r="5" spans="1:2">
      <c r="A5" s="18" t="s">
        <v>195</v>
      </c>
    </row>
    <row r="6" spans="1:2">
      <c r="A6" s="18"/>
    </row>
    <row r="7" spans="1:2">
      <c r="A7" s="1" t="s">
        <v>196</v>
      </c>
      <c r="B7" s="1" t="s">
        <v>199</v>
      </c>
    </row>
    <row r="8" spans="1:2">
      <c r="A8" s="1" t="s">
        <v>197</v>
      </c>
      <c r="B8" s="1" t="s">
        <v>200</v>
      </c>
    </row>
    <row r="9" spans="1:2">
      <c r="A9" s="1" t="s">
        <v>198</v>
      </c>
      <c r="B9" t="s">
        <v>201</v>
      </c>
    </row>
    <row r="10" spans="1:2">
      <c r="A10" s="27" t="s">
        <v>217</v>
      </c>
      <c r="B10" s="1" t="s">
        <v>218</v>
      </c>
    </row>
    <row r="11" spans="1:2">
      <c r="A11" s="27" t="s">
        <v>223</v>
      </c>
      <c r="B11" s="1" t="s">
        <v>224</v>
      </c>
    </row>
    <row r="12" spans="1:2">
      <c r="A12" s="27" t="s">
        <v>229</v>
      </c>
      <c r="B12" s="1" t="s">
        <v>230</v>
      </c>
    </row>
    <row r="13" spans="1:2">
      <c r="A13" s="27" t="s">
        <v>236</v>
      </c>
      <c r="B13" s="1" t="s">
        <v>237</v>
      </c>
    </row>
    <row r="14" spans="1:2">
      <c r="A14" s="27" t="s">
        <v>242</v>
      </c>
      <c r="B14" s="1" t="s">
        <v>243</v>
      </c>
    </row>
    <row r="15" spans="1:2">
      <c r="A15" s="27" t="s">
        <v>250</v>
      </c>
      <c r="B15" s="1" t="s">
        <v>251</v>
      </c>
    </row>
    <row r="16" spans="1:2">
      <c r="A16" s="27" t="s">
        <v>259</v>
      </c>
      <c r="B16" s="1" t="s">
        <v>269</v>
      </c>
    </row>
    <row r="17" spans="1:10">
      <c r="A17" s="27" t="s">
        <v>266</v>
      </c>
      <c r="B17" s="1" t="s">
        <v>267</v>
      </c>
    </row>
    <row r="18" spans="1:10">
      <c r="A18" s="27"/>
      <c r="B18" s="1"/>
    </row>
    <row r="19" spans="1:10">
      <c r="A19" s="28" t="s">
        <v>271</v>
      </c>
      <c r="B19" s="1"/>
    </row>
    <row r="20" spans="1:10">
      <c r="A20" s="27"/>
      <c r="B20" s="1"/>
    </row>
    <row r="21" spans="1:10" s="13" customFormat="1">
      <c r="A21" s="13" t="s">
        <v>139</v>
      </c>
      <c r="B21" s="13" t="s">
        <v>132</v>
      </c>
      <c r="C21" s="13" t="s">
        <v>133</v>
      </c>
      <c r="E21" s="13" t="s">
        <v>140</v>
      </c>
      <c r="F21" s="13" t="s">
        <v>134</v>
      </c>
      <c r="G21" s="13" t="s">
        <v>134</v>
      </c>
      <c r="H21" s="13" t="s">
        <v>135</v>
      </c>
      <c r="I21" s="13" t="s">
        <v>141</v>
      </c>
      <c r="J21" s="12" t="s">
        <v>142</v>
      </c>
    </row>
    <row r="22" spans="1:10" s="13" customFormat="1">
      <c r="A22" s="13" t="s">
        <v>143</v>
      </c>
      <c r="B22" s="13" t="s">
        <v>132</v>
      </c>
      <c r="C22" s="13" t="s">
        <v>133</v>
      </c>
      <c r="E22" s="13" t="s">
        <v>140</v>
      </c>
      <c r="F22" s="13" t="s">
        <v>134</v>
      </c>
      <c r="G22" s="13" t="s">
        <v>134</v>
      </c>
      <c r="H22" s="13" t="s">
        <v>135</v>
      </c>
      <c r="I22" s="13" t="s">
        <v>144</v>
      </c>
      <c r="J22" s="12" t="s">
        <v>145</v>
      </c>
    </row>
    <row r="23" spans="1:10" s="13" customFormat="1">
      <c r="A23" s="13" t="s">
        <v>146</v>
      </c>
      <c r="B23" s="13" t="s">
        <v>132</v>
      </c>
      <c r="C23" s="13" t="s">
        <v>133</v>
      </c>
      <c r="E23" s="13" t="s">
        <v>140</v>
      </c>
      <c r="F23" s="13" t="s">
        <v>134</v>
      </c>
      <c r="G23" s="13" t="s">
        <v>134</v>
      </c>
      <c r="H23" s="13" t="s">
        <v>135</v>
      </c>
      <c r="I23" s="13" t="s">
        <v>147</v>
      </c>
      <c r="J23" s="13" t="s">
        <v>148</v>
      </c>
    </row>
    <row r="24" spans="1:10" s="13" customFormat="1">
      <c r="A24" s="13" t="s">
        <v>149</v>
      </c>
      <c r="B24" s="13" t="s">
        <v>132</v>
      </c>
      <c r="C24" s="13" t="s">
        <v>133</v>
      </c>
      <c r="E24" s="13" t="s">
        <v>140</v>
      </c>
      <c r="F24" s="13" t="s">
        <v>134</v>
      </c>
      <c r="G24" s="13" t="s">
        <v>134</v>
      </c>
      <c r="H24" s="13" t="s">
        <v>135</v>
      </c>
      <c r="I24" s="13" t="s">
        <v>150</v>
      </c>
      <c r="J24" s="13" t="s">
        <v>151</v>
      </c>
    </row>
    <row r="25" spans="1:10" s="13" customFormat="1">
      <c r="A25" s="13" t="s">
        <v>152</v>
      </c>
      <c r="B25" s="13" t="s">
        <v>132</v>
      </c>
      <c r="C25" s="13" t="s">
        <v>133</v>
      </c>
      <c r="E25" s="13" t="s">
        <v>140</v>
      </c>
      <c r="F25" s="13" t="s">
        <v>134</v>
      </c>
      <c r="G25" s="13" t="s">
        <v>134</v>
      </c>
      <c r="H25" s="13" t="s">
        <v>135</v>
      </c>
      <c r="I25" s="13" t="s">
        <v>153</v>
      </c>
      <c r="J25" s="13" t="s">
        <v>154</v>
      </c>
    </row>
    <row r="26" spans="1:10" s="13" customFormat="1">
      <c r="A26" s="13" t="s">
        <v>155</v>
      </c>
      <c r="B26" s="13" t="s">
        <v>132</v>
      </c>
      <c r="C26" s="13" t="s">
        <v>133</v>
      </c>
      <c r="E26" s="13" t="s">
        <v>156</v>
      </c>
      <c r="F26" s="13" t="s">
        <v>134</v>
      </c>
      <c r="G26" s="13" t="s">
        <v>134</v>
      </c>
      <c r="H26" s="13" t="s">
        <v>135</v>
      </c>
      <c r="I26" s="13" t="s">
        <v>157</v>
      </c>
      <c r="J26" s="13" t="s">
        <v>158</v>
      </c>
    </row>
    <row r="27" spans="1:10" s="13" customFormat="1">
      <c r="A27" s="13" t="s">
        <v>159</v>
      </c>
      <c r="B27" s="13" t="s">
        <v>132</v>
      </c>
      <c r="C27" s="13" t="s">
        <v>133</v>
      </c>
      <c r="E27" s="13" t="s">
        <v>156</v>
      </c>
      <c r="F27" s="13" t="s">
        <v>134</v>
      </c>
      <c r="G27" s="13" t="s">
        <v>134</v>
      </c>
      <c r="H27" s="13" t="s">
        <v>135</v>
      </c>
      <c r="I27" s="13" t="s">
        <v>160</v>
      </c>
      <c r="J27" s="13" t="s">
        <v>161</v>
      </c>
    </row>
    <row r="28" spans="1:10" s="13" customFormat="1">
      <c r="A28" s="13" t="s">
        <v>162</v>
      </c>
      <c r="B28" s="13" t="s">
        <v>136</v>
      </c>
      <c r="C28" s="13" t="s">
        <v>133</v>
      </c>
      <c r="E28" s="13" t="s">
        <v>163</v>
      </c>
      <c r="F28" s="13" t="s">
        <v>134</v>
      </c>
      <c r="G28" s="13" t="s">
        <v>134</v>
      </c>
      <c r="H28" s="13" t="s">
        <v>135</v>
      </c>
      <c r="I28" s="12" t="s">
        <v>164</v>
      </c>
      <c r="J28" s="12" t="s">
        <v>165</v>
      </c>
    </row>
    <row r="29" spans="1:10" s="13" customFormat="1">
      <c r="A29" s="13" t="s">
        <v>179</v>
      </c>
      <c r="B29" s="13" t="s">
        <v>136</v>
      </c>
      <c r="C29" s="13" t="s">
        <v>133</v>
      </c>
      <c r="E29" s="13" t="s">
        <v>180</v>
      </c>
      <c r="F29" s="13" t="s">
        <v>134</v>
      </c>
      <c r="G29" s="13" t="s">
        <v>134</v>
      </c>
      <c r="H29" s="13" t="s">
        <v>135</v>
      </c>
      <c r="I29" s="13" t="s">
        <v>181</v>
      </c>
      <c r="J29" s="12" t="s">
        <v>182</v>
      </c>
    </row>
    <row r="30" spans="1:10" s="13" customFormat="1">
      <c r="J30" s="12"/>
    </row>
    <row r="31" spans="1:10" s="13" customFormat="1">
      <c r="A31" s="30" t="s">
        <v>272</v>
      </c>
      <c r="J31" s="12"/>
    </row>
    <row r="32" spans="1:10">
      <c r="A32" s="27"/>
      <c r="B32" s="1"/>
    </row>
    <row r="33" spans="1:11" s="13" customFormat="1">
      <c r="A33" s="12" t="s">
        <v>206</v>
      </c>
      <c r="B33" s="13" t="s">
        <v>136</v>
      </c>
      <c r="C33" s="13" t="s">
        <v>133</v>
      </c>
      <c r="E33" s="13" t="s">
        <v>163</v>
      </c>
      <c r="F33" s="13" t="s">
        <v>134</v>
      </c>
      <c r="G33" s="13" t="s">
        <v>134</v>
      </c>
      <c r="H33" s="13" t="s">
        <v>135</v>
      </c>
      <c r="I33" s="12" t="s">
        <v>167</v>
      </c>
      <c r="J33" s="12" t="s">
        <v>166</v>
      </c>
    </row>
    <row r="34" spans="1:11" s="13" customFormat="1">
      <c r="A34" s="12" t="s">
        <v>207</v>
      </c>
      <c r="B34" s="13" t="s">
        <v>132</v>
      </c>
      <c r="C34" s="13" t="s">
        <v>133</v>
      </c>
      <c r="E34" s="12" t="s">
        <v>183</v>
      </c>
      <c r="F34" s="13" t="s">
        <v>134</v>
      </c>
      <c r="G34" s="13" t="s">
        <v>134</v>
      </c>
      <c r="H34" s="13" t="s">
        <v>135</v>
      </c>
      <c r="I34" s="12" t="s">
        <v>205</v>
      </c>
      <c r="J34" s="12" t="s">
        <v>184</v>
      </c>
    </row>
    <row r="35" spans="1:11" s="13" customFormat="1">
      <c r="A35" s="12" t="s">
        <v>208</v>
      </c>
      <c r="B35" s="13" t="s">
        <v>136</v>
      </c>
      <c r="C35" s="13" t="s">
        <v>133</v>
      </c>
      <c r="E35" s="12" t="s">
        <v>185</v>
      </c>
      <c r="F35" s="13" t="s">
        <v>134</v>
      </c>
      <c r="G35" s="13" t="s">
        <v>134</v>
      </c>
      <c r="H35" s="13" t="s">
        <v>135</v>
      </c>
      <c r="I35" s="12" t="s">
        <v>204</v>
      </c>
      <c r="J35" s="12" t="s">
        <v>186</v>
      </c>
    </row>
    <row r="36" spans="1:11" s="13" customFormat="1">
      <c r="A36" s="12" t="s">
        <v>209</v>
      </c>
      <c r="B36" s="13" t="s">
        <v>132</v>
      </c>
      <c r="C36" s="13" t="s">
        <v>133</v>
      </c>
      <c r="E36" s="13" t="s">
        <v>163</v>
      </c>
      <c r="F36" s="13" t="s">
        <v>134</v>
      </c>
      <c r="G36" s="13" t="s">
        <v>134</v>
      </c>
      <c r="H36" s="13" t="s">
        <v>135</v>
      </c>
      <c r="I36" s="12" t="s">
        <v>188</v>
      </c>
      <c r="J36" s="12" t="s">
        <v>187</v>
      </c>
    </row>
    <row r="37" spans="1:11" s="13" customFormat="1">
      <c r="A37" s="12" t="s">
        <v>210</v>
      </c>
      <c r="B37" s="13" t="s">
        <v>136</v>
      </c>
      <c r="C37" s="13" t="s">
        <v>133</v>
      </c>
      <c r="E37" s="12" t="s">
        <v>194</v>
      </c>
      <c r="F37" s="13" t="s">
        <v>134</v>
      </c>
      <c r="G37" s="13" t="s">
        <v>134</v>
      </c>
      <c r="H37" s="13" t="s">
        <v>135</v>
      </c>
      <c r="I37" s="12" t="s">
        <v>203</v>
      </c>
      <c r="J37" s="12" t="s">
        <v>202</v>
      </c>
    </row>
    <row r="38" spans="1:11" s="13" customFormat="1">
      <c r="A38" s="12" t="s">
        <v>328</v>
      </c>
      <c r="B38" s="13" t="s">
        <v>136</v>
      </c>
      <c r="C38" s="13" t="s">
        <v>133</v>
      </c>
      <c r="E38" s="29" t="s">
        <v>220</v>
      </c>
      <c r="F38" s="13" t="s">
        <v>134</v>
      </c>
      <c r="G38" s="13" t="s">
        <v>134</v>
      </c>
      <c r="H38" s="13" t="s">
        <v>135</v>
      </c>
      <c r="I38" s="12" t="s">
        <v>221</v>
      </c>
      <c r="J38" s="12" t="s">
        <v>222</v>
      </c>
    </row>
    <row r="39" spans="1:11" s="13" customFormat="1">
      <c r="A39" s="12" t="s">
        <v>329</v>
      </c>
      <c r="B39" s="13" t="s">
        <v>136</v>
      </c>
      <c r="C39" s="13" t="s">
        <v>133</v>
      </c>
      <c r="E39" s="29" t="s">
        <v>226</v>
      </c>
      <c r="F39" s="13" t="s">
        <v>134</v>
      </c>
      <c r="G39" s="13" t="s">
        <v>134</v>
      </c>
      <c r="H39" s="13" t="s">
        <v>135</v>
      </c>
      <c r="I39" s="12" t="s">
        <v>227</v>
      </c>
      <c r="J39" s="12" t="s">
        <v>228</v>
      </c>
    </row>
    <row r="40" spans="1:11" s="13" customFormat="1">
      <c r="A40" s="12" t="s">
        <v>330</v>
      </c>
      <c r="B40" s="13" t="s">
        <v>136</v>
      </c>
      <c r="C40" s="13" t="s">
        <v>133</v>
      </c>
      <c r="E40" s="12" t="s">
        <v>232</v>
      </c>
      <c r="F40" s="13" t="s">
        <v>134</v>
      </c>
      <c r="G40" s="13" t="s">
        <v>134</v>
      </c>
      <c r="H40" s="13" t="s">
        <v>135</v>
      </c>
      <c r="I40" s="12" t="s">
        <v>234</v>
      </c>
      <c r="J40" s="12" t="s">
        <v>233</v>
      </c>
    </row>
    <row r="41" spans="1:11" s="13" customFormat="1">
      <c r="A41" s="12" t="s">
        <v>331</v>
      </c>
      <c r="B41" s="13" t="s">
        <v>136</v>
      </c>
      <c r="C41" s="13" t="s">
        <v>133</v>
      </c>
      <c r="E41" s="12" t="s">
        <v>235</v>
      </c>
      <c r="F41" s="13" t="s">
        <v>134</v>
      </c>
      <c r="G41" s="13" t="s">
        <v>134</v>
      </c>
      <c r="H41" s="13" t="s">
        <v>135</v>
      </c>
      <c r="I41" s="12" t="s">
        <v>238</v>
      </c>
      <c r="J41" s="12" t="s">
        <v>239</v>
      </c>
    </row>
    <row r="42" spans="1:11" s="13" customFormat="1">
      <c r="A42" s="12" t="s">
        <v>332</v>
      </c>
      <c r="B42" s="13" t="s">
        <v>136</v>
      </c>
      <c r="C42" s="13" t="s">
        <v>133</v>
      </c>
      <c r="E42" s="12" t="s">
        <v>246</v>
      </c>
      <c r="F42" s="13" t="s">
        <v>134</v>
      </c>
      <c r="G42" s="13" t="s">
        <v>134</v>
      </c>
      <c r="H42" s="13" t="s">
        <v>135</v>
      </c>
      <c r="I42" s="12" t="s">
        <v>247</v>
      </c>
      <c r="J42" s="12" t="s">
        <v>248</v>
      </c>
    </row>
    <row r="43" spans="1:11" s="13" customFormat="1">
      <c r="A43" s="12" t="s">
        <v>333</v>
      </c>
      <c r="B43" s="13" t="s">
        <v>136</v>
      </c>
      <c r="C43" s="12" t="s">
        <v>133</v>
      </c>
      <c r="E43" s="12" t="s">
        <v>254</v>
      </c>
      <c r="F43" s="13" t="s">
        <v>134</v>
      </c>
      <c r="G43" s="13" t="s">
        <v>134</v>
      </c>
      <c r="H43" s="13" t="s">
        <v>135</v>
      </c>
      <c r="I43" s="12" t="s">
        <v>255</v>
      </c>
      <c r="J43" s="12" t="s">
        <v>256</v>
      </c>
    </row>
    <row r="44" spans="1:11" s="13" customFormat="1">
      <c r="A44" s="12" t="s">
        <v>334</v>
      </c>
      <c r="B44" s="13" t="s">
        <v>136</v>
      </c>
      <c r="C44" s="12" t="s">
        <v>133</v>
      </c>
      <c r="E44" s="12" t="s">
        <v>261</v>
      </c>
      <c r="F44" s="13" t="s">
        <v>134</v>
      </c>
      <c r="G44" s="13" t="s">
        <v>134</v>
      </c>
      <c r="H44" s="13" t="s">
        <v>135</v>
      </c>
      <c r="I44" s="13" t="s">
        <v>270</v>
      </c>
      <c r="J44" s="13" t="s">
        <v>262</v>
      </c>
    </row>
    <row r="45" spans="1:11" s="13" customFormat="1">
      <c r="A45" s="12" t="s">
        <v>335</v>
      </c>
      <c r="B45" s="13" t="s">
        <v>136</v>
      </c>
      <c r="C45" s="12" t="s">
        <v>133</v>
      </c>
      <c r="E45" s="12" t="s">
        <v>264</v>
      </c>
      <c r="F45" s="13" t="s">
        <v>134</v>
      </c>
      <c r="G45" s="13" t="s">
        <v>134</v>
      </c>
      <c r="H45" s="13" t="s">
        <v>135</v>
      </c>
      <c r="I45" s="12" t="s">
        <v>265</v>
      </c>
      <c r="J45" s="12" t="s">
        <v>268</v>
      </c>
    </row>
    <row r="46" spans="1:11">
      <c r="A46" s="12"/>
      <c r="B46" s="13"/>
      <c r="C46" s="12"/>
      <c r="D46" s="13"/>
      <c r="E46" s="12"/>
      <c r="F46" s="13"/>
      <c r="G46" s="13"/>
      <c r="H46" s="13"/>
      <c r="I46" s="13"/>
      <c r="J46" s="13"/>
      <c r="K46" s="13"/>
    </row>
    <row r="47" spans="1:11">
      <c r="A47" s="2" t="s">
        <v>28</v>
      </c>
    </row>
    <row r="49" spans="1:10">
      <c r="A49" s="18" t="s">
        <v>195</v>
      </c>
    </row>
    <row r="51" spans="1:10">
      <c r="A51" t="s">
        <v>281</v>
      </c>
      <c r="B51" s="1" t="s">
        <v>280</v>
      </c>
      <c r="G51">
        <v>659</v>
      </c>
    </row>
    <row r="52" spans="1:10">
      <c r="A52" s="1" t="s">
        <v>310</v>
      </c>
      <c r="B52" s="1" t="s">
        <v>101</v>
      </c>
      <c r="G52">
        <v>1084.3000000000002</v>
      </c>
    </row>
    <row r="53" spans="1:10">
      <c r="A53" s="1" t="s">
        <v>312</v>
      </c>
      <c r="B53" s="1" t="s">
        <v>100</v>
      </c>
      <c r="G53">
        <v>4830</v>
      </c>
    </row>
    <row r="54" spans="1:10">
      <c r="A54" s="1" t="s">
        <v>337</v>
      </c>
      <c r="B54" s="1" t="s">
        <v>338</v>
      </c>
      <c r="G54">
        <v>1566.3389999999995</v>
      </c>
    </row>
    <row r="55" spans="1:10">
      <c r="A55" s="1" t="s">
        <v>620</v>
      </c>
      <c r="B55" s="1" t="s">
        <v>617</v>
      </c>
    </row>
    <row r="57" spans="1:10">
      <c r="A57" s="18" t="s">
        <v>296</v>
      </c>
    </row>
    <row r="59" spans="1:10" s="13" customFormat="1">
      <c r="A59" s="12" t="s">
        <v>273</v>
      </c>
      <c r="B59" s="13" t="s">
        <v>132</v>
      </c>
      <c r="C59" s="13" t="s">
        <v>133</v>
      </c>
      <c r="E59" s="13" t="s">
        <v>274</v>
      </c>
      <c r="F59" s="13" t="s">
        <v>134</v>
      </c>
      <c r="G59" s="13" t="s">
        <v>134</v>
      </c>
      <c r="H59" s="13" t="s">
        <v>135</v>
      </c>
      <c r="I59" s="12" t="s">
        <v>275</v>
      </c>
      <c r="J59" s="12" t="s">
        <v>276</v>
      </c>
    </row>
    <row r="61" spans="1:10">
      <c r="A61" s="18" t="s">
        <v>297</v>
      </c>
    </row>
    <row r="62" spans="1:10">
      <c r="A62" s="18"/>
    </row>
    <row r="63" spans="1:10" s="13" customFormat="1">
      <c r="A63" s="12" t="s">
        <v>351</v>
      </c>
      <c r="B63" s="13" t="s">
        <v>136</v>
      </c>
      <c r="C63" s="12" t="s">
        <v>133</v>
      </c>
      <c r="E63" s="12" t="s">
        <v>304</v>
      </c>
      <c r="F63" s="13" t="s">
        <v>134</v>
      </c>
      <c r="G63" s="13" t="s">
        <v>134</v>
      </c>
      <c r="H63" s="13" t="s">
        <v>135</v>
      </c>
      <c r="I63" s="12" t="s">
        <v>291</v>
      </c>
      <c r="J63" s="12" t="s">
        <v>294</v>
      </c>
    </row>
    <row r="64" spans="1:10" s="13" customFormat="1">
      <c r="A64" s="12" t="s">
        <v>352</v>
      </c>
      <c r="B64" s="13" t="s">
        <v>136</v>
      </c>
      <c r="C64" s="12" t="s">
        <v>133</v>
      </c>
      <c r="E64" s="12" t="s">
        <v>295</v>
      </c>
      <c r="F64" s="13" t="s">
        <v>134</v>
      </c>
      <c r="G64" s="13" t="s">
        <v>134</v>
      </c>
      <c r="H64" s="13" t="s">
        <v>135</v>
      </c>
      <c r="I64" s="12" t="s">
        <v>309</v>
      </c>
      <c r="J64" s="12" t="s">
        <v>311</v>
      </c>
    </row>
    <row r="65" spans="1:10" s="13" customFormat="1">
      <c r="A65" s="12" t="s">
        <v>353</v>
      </c>
      <c r="B65" s="13" t="s">
        <v>136</v>
      </c>
      <c r="C65" s="12" t="s">
        <v>133</v>
      </c>
      <c r="E65" s="12" t="s">
        <v>313</v>
      </c>
      <c r="F65" s="13" t="s">
        <v>134</v>
      </c>
      <c r="G65" s="13" t="s">
        <v>134</v>
      </c>
      <c r="H65" s="13" t="s">
        <v>135</v>
      </c>
      <c r="I65" s="12" t="s">
        <v>314</v>
      </c>
      <c r="J65" s="12" t="s">
        <v>316</v>
      </c>
    </row>
    <row r="66" spans="1:10" s="13" customFormat="1">
      <c r="A66" s="12" t="s">
        <v>339</v>
      </c>
      <c r="B66" s="13" t="s">
        <v>136</v>
      </c>
      <c r="C66" s="12" t="s">
        <v>133</v>
      </c>
      <c r="E66" s="12" t="s">
        <v>336</v>
      </c>
      <c r="F66" s="13" t="s">
        <v>134</v>
      </c>
      <c r="G66" s="13" t="s">
        <v>134</v>
      </c>
      <c r="H66" s="13" t="s">
        <v>135</v>
      </c>
      <c r="I66" s="12" t="s">
        <v>348</v>
      </c>
      <c r="J66" s="12" t="s">
        <v>349</v>
      </c>
    </row>
    <row r="67" spans="1:10" s="13" customFormat="1">
      <c r="A67" s="12" t="s">
        <v>606</v>
      </c>
      <c r="B67" s="13" t="s">
        <v>136</v>
      </c>
      <c r="C67" s="12" t="s">
        <v>133</v>
      </c>
      <c r="E67" s="12" t="s">
        <v>616</v>
      </c>
      <c r="F67" s="13" t="s">
        <v>134</v>
      </c>
      <c r="G67" s="13" t="s">
        <v>134</v>
      </c>
      <c r="H67" s="13" t="s">
        <v>135</v>
      </c>
      <c r="I67" s="12" t="s">
        <v>621</v>
      </c>
      <c r="J67" s="12" t="s">
        <v>618</v>
      </c>
    </row>
    <row r="69" spans="1:10">
      <c r="A69" s="2" t="s">
        <v>476</v>
      </c>
    </row>
    <row r="71" spans="1:10">
      <c r="A71" s="18" t="s">
        <v>195</v>
      </c>
    </row>
    <row r="73" spans="1:10">
      <c r="A73" t="s">
        <v>373</v>
      </c>
      <c r="B73" t="s">
        <v>372</v>
      </c>
      <c r="G73">
        <v>532</v>
      </c>
    </row>
    <row r="74" spans="1:10">
      <c r="A74" t="s">
        <v>380</v>
      </c>
      <c r="B74" t="s">
        <v>379</v>
      </c>
      <c r="G74">
        <v>1064</v>
      </c>
    </row>
    <row r="75" spans="1:10">
      <c r="A75" t="s">
        <v>413</v>
      </c>
      <c r="B75" t="s">
        <v>450</v>
      </c>
      <c r="G75">
        <v>788</v>
      </c>
    </row>
    <row r="76" spans="1:10">
      <c r="A76" s="1" t="s">
        <v>475</v>
      </c>
      <c r="B76" s="1" t="s">
        <v>619</v>
      </c>
    </row>
    <row r="77" spans="1:10">
      <c r="A77" s="1"/>
      <c r="B77" s="1"/>
    </row>
    <row r="78" spans="1:10">
      <c r="A78" s="18" t="s">
        <v>296</v>
      </c>
    </row>
    <row r="79" spans="1:10">
      <c r="A79" s="18"/>
    </row>
    <row r="80" spans="1:10">
      <c r="A80" t="s">
        <v>386</v>
      </c>
      <c r="B80" t="s">
        <v>132</v>
      </c>
      <c r="C80" t="s">
        <v>133</v>
      </c>
      <c r="E80" t="s">
        <v>387</v>
      </c>
      <c r="F80" t="s">
        <v>134</v>
      </c>
      <c r="G80" t="s">
        <v>134</v>
      </c>
      <c r="H80" t="s">
        <v>135</v>
      </c>
      <c r="I80" t="s">
        <v>388</v>
      </c>
      <c r="J80" t="s">
        <v>389</v>
      </c>
    </row>
    <row r="81" spans="1:18">
      <c r="A81" s="1" t="s">
        <v>479</v>
      </c>
    </row>
    <row r="82" spans="1:18" ht="15" customHeight="1">
      <c r="A82" t="s">
        <v>393</v>
      </c>
      <c r="B82" t="s">
        <v>136</v>
      </c>
      <c r="C82" t="s">
        <v>133</v>
      </c>
      <c r="E82" t="s">
        <v>394</v>
      </c>
      <c r="F82" t="s">
        <v>134</v>
      </c>
      <c r="G82" t="s">
        <v>134</v>
      </c>
      <c r="H82" t="s">
        <v>135</v>
      </c>
      <c r="I82" s="1" t="s">
        <v>395</v>
      </c>
      <c r="J82" t="s">
        <v>396</v>
      </c>
      <c r="Q82" s="57" t="s">
        <v>398</v>
      </c>
      <c r="R82" s="57" t="s">
        <v>399</v>
      </c>
    </row>
    <row r="83" spans="1:18">
      <c r="A83" s="1" t="s">
        <v>400</v>
      </c>
      <c r="B83" t="s">
        <v>136</v>
      </c>
      <c r="C83" t="s">
        <v>133</v>
      </c>
      <c r="E83" s="1" t="s">
        <v>401</v>
      </c>
      <c r="F83" t="s">
        <v>134</v>
      </c>
      <c r="G83" t="s">
        <v>134</v>
      </c>
      <c r="H83" t="s">
        <v>135</v>
      </c>
      <c r="I83" s="1" t="s">
        <v>402</v>
      </c>
      <c r="J83" s="1" t="s">
        <v>403</v>
      </c>
    </row>
    <row r="84" spans="1:18">
      <c r="A84" s="1"/>
      <c r="E84" s="1"/>
      <c r="I84" s="1"/>
      <c r="J84" s="1"/>
    </row>
    <row r="85" spans="1:18">
      <c r="A85" s="18" t="s">
        <v>297</v>
      </c>
    </row>
    <row r="87" spans="1:18">
      <c r="A87" s="12" t="s">
        <v>354</v>
      </c>
      <c r="B87" s="13" t="s">
        <v>136</v>
      </c>
      <c r="C87" s="12" t="s">
        <v>133</v>
      </c>
      <c r="D87" s="13"/>
      <c r="E87" s="12" t="s">
        <v>356</v>
      </c>
      <c r="F87" s="13" t="s">
        <v>134</v>
      </c>
      <c r="G87" s="13" t="s">
        <v>134</v>
      </c>
      <c r="H87" s="13" t="s">
        <v>135</v>
      </c>
      <c r="I87" s="12" t="s">
        <v>381</v>
      </c>
      <c r="J87" s="12" t="s">
        <v>382</v>
      </c>
      <c r="K87" s="13"/>
      <c r="L87" s="13"/>
      <c r="M87" s="13"/>
      <c r="N87" s="13"/>
      <c r="O87" s="13"/>
      <c r="P87" s="13"/>
      <c r="Q87" s="13"/>
      <c r="R87" s="13"/>
    </row>
    <row r="88" spans="1:18">
      <c r="A88" s="12" t="s">
        <v>355</v>
      </c>
      <c r="B88" s="13" t="s">
        <v>136</v>
      </c>
      <c r="C88" s="12" t="s">
        <v>133</v>
      </c>
      <c r="D88" s="13"/>
      <c r="E88" s="12" t="s">
        <v>357</v>
      </c>
      <c r="F88" s="13" t="s">
        <v>134</v>
      </c>
      <c r="G88" s="13" t="s">
        <v>134</v>
      </c>
      <c r="H88" s="13" t="s">
        <v>135</v>
      </c>
      <c r="I88" s="12" t="s">
        <v>384</v>
      </c>
      <c r="J88" s="12" t="s">
        <v>383</v>
      </c>
    </row>
    <row r="89" spans="1:18">
      <c r="A89" s="1" t="s">
        <v>400</v>
      </c>
      <c r="B89" t="s">
        <v>136</v>
      </c>
      <c r="C89" t="s">
        <v>133</v>
      </c>
      <c r="E89" s="1" t="s">
        <v>401</v>
      </c>
      <c r="F89" t="s">
        <v>134</v>
      </c>
      <c r="G89" t="s">
        <v>134</v>
      </c>
      <c r="H89" t="s">
        <v>135</v>
      </c>
      <c r="I89" s="1" t="s">
        <v>402</v>
      </c>
      <c r="J89" s="1" t="s">
        <v>403</v>
      </c>
    </row>
    <row r="90" spans="1:18">
      <c r="A90" s="1" t="s">
        <v>421</v>
      </c>
      <c r="B90" t="s">
        <v>136</v>
      </c>
      <c r="C90" t="s">
        <v>133</v>
      </c>
      <c r="E90" s="1" t="s">
        <v>422</v>
      </c>
      <c r="F90" t="s">
        <v>134</v>
      </c>
      <c r="G90" t="s">
        <v>134</v>
      </c>
      <c r="H90" t="s">
        <v>135</v>
      </c>
      <c r="I90" s="1" t="s">
        <v>423</v>
      </c>
      <c r="J90" s="1" t="s">
        <v>451</v>
      </c>
    </row>
    <row r="91" spans="1:18">
      <c r="A91" s="1" t="s">
        <v>477</v>
      </c>
      <c r="B91" t="s">
        <v>136</v>
      </c>
      <c r="C91" t="s">
        <v>133</v>
      </c>
      <c r="E91" s="1" t="s">
        <v>478</v>
      </c>
      <c r="F91" t="s">
        <v>134</v>
      </c>
      <c r="G91" t="s">
        <v>134</v>
      </c>
      <c r="H91" t="s">
        <v>135</v>
      </c>
      <c r="I91" s="1" t="s">
        <v>539</v>
      </c>
      <c r="J91" s="1" t="s">
        <v>540</v>
      </c>
      <c r="K91" s="37"/>
      <c r="L91" s="37"/>
      <c r="M91" s="37"/>
    </row>
    <row r="93" spans="1:18">
      <c r="A93" s="2" t="s">
        <v>535</v>
      </c>
    </row>
    <row r="95" spans="1:18">
      <c r="A95" s="18" t="s">
        <v>297</v>
      </c>
    </row>
    <row r="96" spans="1:18">
      <c r="A96" s="18"/>
    </row>
    <row r="97" spans="1:10">
      <c r="A97" s="1" t="s">
        <v>531</v>
      </c>
      <c r="B97" t="s">
        <v>136</v>
      </c>
      <c r="C97" t="s">
        <v>133</v>
      </c>
      <c r="E97" s="1" t="s">
        <v>532</v>
      </c>
      <c r="F97" t="s">
        <v>134</v>
      </c>
      <c r="G97" t="s">
        <v>134</v>
      </c>
      <c r="H97" t="s">
        <v>135</v>
      </c>
      <c r="I97" s="1" t="s">
        <v>533</v>
      </c>
      <c r="J97" s="1" t="s">
        <v>534</v>
      </c>
    </row>
    <row r="99" spans="1:10">
      <c r="A99" s="2" t="s">
        <v>35</v>
      </c>
    </row>
    <row r="100" spans="1:10">
      <c r="A100" s="2"/>
    </row>
    <row r="101" spans="1:10">
      <c r="A101" s="18" t="s">
        <v>297</v>
      </c>
    </row>
    <row r="102" spans="1:10">
      <c r="A102" s="18"/>
    </row>
    <row r="103" spans="1:10">
      <c r="A103" s="1" t="s">
        <v>576</v>
      </c>
      <c r="B103" t="s">
        <v>136</v>
      </c>
      <c r="C103" t="s">
        <v>133</v>
      </c>
      <c r="E103" s="1" t="s">
        <v>577</v>
      </c>
      <c r="F103" t="s">
        <v>134</v>
      </c>
      <c r="G103" t="s">
        <v>134</v>
      </c>
      <c r="H103" t="s">
        <v>135</v>
      </c>
      <c r="I103" s="1" t="s">
        <v>584</v>
      </c>
      <c r="J103" s="1" t="s">
        <v>585</v>
      </c>
    </row>
    <row r="105" spans="1:10">
      <c r="A105" s="2" t="s">
        <v>34</v>
      </c>
    </row>
    <row r="107" spans="1:10">
      <c r="A107" s="18" t="s">
        <v>297</v>
      </c>
    </row>
    <row r="109" spans="1:10">
      <c r="A109" s="1" t="s">
        <v>606</v>
      </c>
      <c r="B109" t="s">
        <v>136</v>
      </c>
      <c r="C109" t="s">
        <v>133</v>
      </c>
      <c r="E109" s="1" t="s">
        <v>607</v>
      </c>
      <c r="F109" t="s">
        <v>134</v>
      </c>
      <c r="G109" t="s">
        <v>134</v>
      </c>
      <c r="H109" t="s">
        <v>135</v>
      </c>
      <c r="I109" s="1" t="s">
        <v>608</v>
      </c>
      <c r="J109" s="1" t="s">
        <v>609</v>
      </c>
    </row>
    <row r="111" spans="1:10">
      <c r="A111" s="2" t="s">
        <v>628</v>
      </c>
    </row>
    <row r="112" spans="1:10">
      <c r="A112" s="1"/>
    </row>
    <row r="113" spans="1:10">
      <c r="A113" s="1" t="s">
        <v>624</v>
      </c>
      <c r="B113" t="s">
        <v>136</v>
      </c>
      <c r="C113" t="s">
        <v>133</v>
      </c>
      <c r="E113" s="1" t="s">
        <v>625</v>
      </c>
      <c r="F113" t="s">
        <v>134</v>
      </c>
      <c r="G113" t="s">
        <v>134</v>
      </c>
      <c r="H113" t="s">
        <v>135</v>
      </c>
      <c r="I113" s="1" t="s">
        <v>626</v>
      </c>
      <c r="J113" s="1" t="s">
        <v>627</v>
      </c>
    </row>
  </sheetData>
  <conditionalFormatting sqref="A35">
    <cfRule type="duplicateValues" dxfId="32" priority="15"/>
  </conditionalFormatting>
  <conditionalFormatting sqref="A35">
    <cfRule type="duplicateValues" dxfId="31" priority="13"/>
    <cfRule type="duplicateValues" dxfId="30" priority="14"/>
  </conditionalFormatting>
  <conditionalFormatting sqref="A37:A41 A43">
    <cfRule type="duplicateValues" dxfId="29" priority="12"/>
  </conditionalFormatting>
  <conditionalFormatting sqref="A37:A41 A43">
    <cfRule type="duplicateValues" dxfId="28" priority="10"/>
    <cfRule type="duplicateValues" dxfId="27" priority="11"/>
  </conditionalFormatting>
  <conditionalFormatting sqref="A42">
    <cfRule type="duplicateValues" dxfId="26" priority="9"/>
  </conditionalFormatting>
  <conditionalFormatting sqref="A42">
    <cfRule type="duplicateValues" dxfId="25" priority="7"/>
    <cfRule type="duplicateValues" dxfId="24" priority="8"/>
  </conditionalFormatting>
  <conditionalFormatting sqref="A44 A46">
    <cfRule type="duplicateValues" dxfId="23" priority="6"/>
  </conditionalFormatting>
  <conditionalFormatting sqref="A44 A46">
    <cfRule type="duplicateValues" dxfId="22" priority="4"/>
    <cfRule type="duplicateValues" dxfId="21" priority="5"/>
  </conditionalFormatting>
  <conditionalFormatting sqref="A45">
    <cfRule type="duplicateValues" dxfId="20" priority="3"/>
  </conditionalFormatting>
  <conditionalFormatting sqref="A45">
    <cfRule type="duplicateValues" dxfId="19" priority="1"/>
    <cfRule type="duplicateValues" dxfId="18" priority="2"/>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workbookViewId="0">
      <selection activeCell="J26" sqref="J26"/>
    </sheetView>
  </sheetViews>
  <sheetFormatPr defaultRowHeight="12.75"/>
  <cols>
    <col min="2" max="2" width="36.85546875" customWidth="1"/>
    <col min="3" max="3" width="14.42578125" customWidth="1"/>
  </cols>
  <sheetData>
    <row r="1" spans="1:17">
      <c r="A1" s="1" t="s">
        <v>586</v>
      </c>
    </row>
    <row r="2" spans="1:17">
      <c r="D2" s="1" t="s">
        <v>594</v>
      </c>
    </row>
    <row r="3" spans="1:17">
      <c r="B3" s="1" t="s">
        <v>27</v>
      </c>
      <c r="C3" s="1" t="s">
        <v>593</v>
      </c>
      <c r="D3" s="1" t="s">
        <v>541</v>
      </c>
      <c r="E3" s="1" t="s">
        <v>542</v>
      </c>
      <c r="F3" s="1" t="s">
        <v>544</v>
      </c>
      <c r="G3" s="1" t="s">
        <v>543</v>
      </c>
    </row>
    <row r="4" spans="1:17">
      <c r="B4" s="1" t="s">
        <v>587</v>
      </c>
      <c r="C4">
        <v>0.68769999999999998</v>
      </c>
      <c r="D4">
        <f t="shared" ref="D4:D9" si="0">(1-C4)/2</f>
        <v>0.15615000000000001</v>
      </c>
      <c r="E4">
        <f t="shared" ref="E4:E9" si="1">(1-C4)/2</f>
        <v>0.15615000000000001</v>
      </c>
      <c r="F4">
        <f t="shared" ref="F4:F9" si="2">C4/2</f>
        <v>0.34384999999999999</v>
      </c>
      <c r="G4">
        <f t="shared" ref="G4:G9" si="3">C4/2</f>
        <v>0.34384999999999999</v>
      </c>
    </row>
    <row r="5" spans="1:17">
      <c r="B5" s="1" t="s">
        <v>588</v>
      </c>
      <c r="C5">
        <v>0.68689999999999996</v>
      </c>
      <c r="D5">
        <f t="shared" si="0"/>
        <v>0.15655000000000002</v>
      </c>
      <c r="E5">
        <f t="shared" si="1"/>
        <v>0.15655000000000002</v>
      </c>
      <c r="F5">
        <f t="shared" si="2"/>
        <v>0.34344999999999998</v>
      </c>
      <c r="G5">
        <f t="shared" si="3"/>
        <v>0.34344999999999998</v>
      </c>
    </row>
    <row r="6" spans="1:17">
      <c r="B6" s="1" t="s">
        <v>589</v>
      </c>
      <c r="C6">
        <v>0.67269999999999996</v>
      </c>
      <c r="D6">
        <f t="shared" si="0"/>
        <v>0.16365000000000002</v>
      </c>
      <c r="E6">
        <f t="shared" si="1"/>
        <v>0.16365000000000002</v>
      </c>
      <c r="F6">
        <f t="shared" si="2"/>
        <v>0.33634999999999998</v>
      </c>
      <c r="G6">
        <f t="shared" si="3"/>
        <v>0.33634999999999998</v>
      </c>
    </row>
    <row r="7" spans="1:17">
      <c r="B7" s="1" t="s">
        <v>590</v>
      </c>
      <c r="C7">
        <v>0.63480000000000003</v>
      </c>
      <c r="D7">
        <f t="shared" si="0"/>
        <v>0.18259999999999998</v>
      </c>
      <c r="E7">
        <f t="shared" si="1"/>
        <v>0.18259999999999998</v>
      </c>
      <c r="F7">
        <f t="shared" si="2"/>
        <v>0.31740000000000002</v>
      </c>
      <c r="G7">
        <f t="shared" si="3"/>
        <v>0.31740000000000002</v>
      </c>
    </row>
    <row r="8" spans="1:17">
      <c r="B8" s="1" t="s">
        <v>591</v>
      </c>
      <c r="C8">
        <v>0.66059999999999997</v>
      </c>
      <c r="D8">
        <f t="shared" si="0"/>
        <v>0.16970000000000002</v>
      </c>
      <c r="E8">
        <f t="shared" si="1"/>
        <v>0.16970000000000002</v>
      </c>
      <c r="F8">
        <f t="shared" si="2"/>
        <v>0.33029999999999998</v>
      </c>
      <c r="G8">
        <f t="shared" si="3"/>
        <v>0.33029999999999998</v>
      </c>
    </row>
    <row r="9" spans="1:17">
      <c r="B9" s="1" t="s">
        <v>592</v>
      </c>
      <c r="C9">
        <v>0.60029999999999994</v>
      </c>
      <c r="D9">
        <f t="shared" si="0"/>
        <v>0.19985000000000003</v>
      </c>
      <c r="E9">
        <f t="shared" si="1"/>
        <v>0.19985000000000003</v>
      </c>
      <c r="F9">
        <f t="shared" si="2"/>
        <v>0.30014999999999997</v>
      </c>
      <c r="G9">
        <f t="shared" si="3"/>
        <v>0.30014999999999997</v>
      </c>
    </row>
    <row r="10" spans="1:17">
      <c r="B10" s="1" t="s">
        <v>2</v>
      </c>
      <c r="C10" s="48">
        <f>AVERAGE(C4:C9)</f>
        <v>0.65716666666666668</v>
      </c>
      <c r="D10" s="48">
        <f>AVERAGE(D4:D9)</f>
        <v>0.17141666666666669</v>
      </c>
      <c r="E10" s="48">
        <f>AVERAGE(E4:E9)</f>
        <v>0.17141666666666669</v>
      </c>
      <c r="F10" s="48">
        <f>AVERAGE(F4:F9)</f>
        <v>0.32858333333333334</v>
      </c>
      <c r="G10" s="48">
        <f>AVERAGE(G4:G9)</f>
        <v>0.32858333333333334</v>
      </c>
    </row>
    <row r="12" spans="1:17">
      <c r="A12" s="18" t="s">
        <v>595</v>
      </c>
    </row>
    <row r="14" spans="1:17">
      <c r="A14" s="88" t="s">
        <v>596</v>
      </c>
      <c r="B14" s="88"/>
      <c r="C14" s="88"/>
      <c r="D14" s="88"/>
      <c r="E14" s="88"/>
      <c r="F14" s="88"/>
      <c r="G14" s="88"/>
      <c r="H14" s="88"/>
      <c r="I14" s="88"/>
      <c r="J14" s="88"/>
      <c r="K14" s="88"/>
      <c r="L14" s="88"/>
      <c r="M14" s="88"/>
      <c r="N14" s="88"/>
      <c r="O14" s="88"/>
      <c r="P14" s="88"/>
      <c r="Q14" s="88"/>
    </row>
    <row r="15" spans="1:17">
      <c r="A15" s="88"/>
      <c r="B15" s="88"/>
      <c r="C15" s="88"/>
      <c r="D15" s="88"/>
      <c r="E15" s="88"/>
      <c r="F15" s="88"/>
      <c r="G15" s="88"/>
      <c r="H15" s="88"/>
      <c r="I15" s="88"/>
      <c r="J15" s="88"/>
      <c r="K15" s="88"/>
      <c r="L15" s="88"/>
      <c r="M15" s="88"/>
      <c r="N15" s="88"/>
      <c r="O15" s="88"/>
      <c r="P15" s="88"/>
      <c r="Q15" s="88"/>
    </row>
    <row r="16" spans="1:17">
      <c r="A16" s="25"/>
      <c r="B16" s="25"/>
      <c r="C16" s="25"/>
      <c r="D16" s="25"/>
      <c r="E16" s="25"/>
      <c r="F16" s="25"/>
      <c r="G16" s="25"/>
      <c r="H16" s="25"/>
      <c r="I16" s="25"/>
      <c r="J16" s="25"/>
      <c r="K16" s="25"/>
      <c r="L16" s="25"/>
      <c r="M16" s="25"/>
      <c r="N16" s="25"/>
      <c r="O16" s="25"/>
      <c r="P16" s="25"/>
      <c r="Q16" s="25"/>
    </row>
    <row r="17" spans="1:10">
      <c r="F17" s="1" t="s">
        <v>578</v>
      </c>
    </row>
    <row r="18" spans="1:10">
      <c r="C18" s="1" t="s">
        <v>574</v>
      </c>
      <c r="D18" s="1" t="s">
        <v>575</v>
      </c>
      <c r="E18" s="1" t="s">
        <v>12</v>
      </c>
      <c r="F18" s="1" t="s">
        <v>427</v>
      </c>
      <c r="G18" s="1" t="s">
        <v>579</v>
      </c>
    </row>
    <row r="19" spans="1:10">
      <c r="B19" s="1" t="s">
        <v>13</v>
      </c>
      <c r="C19" s="5">
        <f>D10</f>
        <v>0.17141666666666669</v>
      </c>
      <c r="D19" s="1">
        <f>330-18</f>
        <v>312</v>
      </c>
      <c r="E19" s="1">
        <f>1/$D$23*C19*1000</f>
        <v>0.55685753678386485</v>
      </c>
      <c r="F19" t="s">
        <v>598</v>
      </c>
      <c r="G19" t="s">
        <v>599</v>
      </c>
    </row>
    <row r="20" spans="1:10">
      <c r="B20" s="1" t="s">
        <v>16</v>
      </c>
      <c r="C20" s="48">
        <f>E10</f>
        <v>0.17141666666666669</v>
      </c>
      <c r="D20">
        <f>321-18</f>
        <v>303</v>
      </c>
      <c r="E20" s="1">
        <f>1/$D$23*C20*1000</f>
        <v>0.55685753678386485</v>
      </c>
      <c r="F20" t="s">
        <v>604</v>
      </c>
      <c r="G20" t="s">
        <v>605</v>
      </c>
    </row>
    <row r="21" spans="1:10">
      <c r="B21" s="1" t="s">
        <v>15</v>
      </c>
      <c r="C21" s="5">
        <f>F10</f>
        <v>0.32858333333333334</v>
      </c>
      <c r="D21">
        <f>346-18</f>
        <v>328</v>
      </c>
      <c r="E21" s="1">
        <f>1/$D$23*C21*1000</f>
        <v>1.0674230761005243</v>
      </c>
      <c r="F21" t="s">
        <v>600</v>
      </c>
      <c r="G21" t="s">
        <v>601</v>
      </c>
    </row>
    <row r="22" spans="1:10">
      <c r="B22" s="1" t="s">
        <v>14</v>
      </c>
      <c r="C22" s="48">
        <f>G10</f>
        <v>0.32858333333333334</v>
      </c>
      <c r="D22">
        <f>306-18</f>
        <v>288</v>
      </c>
      <c r="E22" s="1">
        <f>1/$D$23*C22*1000</f>
        <v>1.0674230761005243</v>
      </c>
      <c r="F22" t="s">
        <v>602</v>
      </c>
      <c r="G22" t="s">
        <v>603</v>
      </c>
    </row>
    <row r="23" spans="1:10">
      <c r="B23" s="1" t="s">
        <v>34</v>
      </c>
      <c r="D23">
        <f>SUMPRODUCT(C19:C22,D19:D22)</f>
        <v>307.82858333333337</v>
      </c>
      <c r="E23" s="1">
        <f>SUM(E19:E22)</f>
        <v>3.2485612257687784</v>
      </c>
    </row>
    <row r="24" spans="1:10">
      <c r="B24" s="1" t="s">
        <v>36</v>
      </c>
      <c r="E24" s="1">
        <f>1.372*E23</f>
        <v>4.4570260017547643</v>
      </c>
    </row>
    <row r="25" spans="1:10">
      <c r="B25" s="1"/>
    </row>
    <row r="26" spans="1:10">
      <c r="A26" s="1" t="s">
        <v>606</v>
      </c>
      <c r="B26" t="s">
        <v>136</v>
      </c>
      <c r="C26" t="s">
        <v>133</v>
      </c>
      <c r="E26" s="1" t="s">
        <v>607</v>
      </c>
      <c r="F26" t="s">
        <v>134</v>
      </c>
      <c r="G26" t="s">
        <v>134</v>
      </c>
      <c r="H26" t="s">
        <v>135</v>
      </c>
      <c r="I26" s="1" t="s">
        <v>608</v>
      </c>
      <c r="J26" s="1" t="s">
        <v>609</v>
      </c>
    </row>
  </sheetData>
  <mergeCells count="1">
    <mergeCell ref="A14:Q1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5"/>
  <sheetViews>
    <sheetView zoomScale="85" zoomScaleNormal="85" workbookViewId="0">
      <selection activeCell="J63" sqref="I63:J63"/>
    </sheetView>
  </sheetViews>
  <sheetFormatPr defaultRowHeight="12.75"/>
  <cols>
    <col min="1" max="1" width="14.5703125" customWidth="1"/>
    <col min="2" max="2" width="10.28515625" bestFit="1" customWidth="1"/>
    <col min="3" max="3" width="12" customWidth="1"/>
    <col min="4" max="5" width="10.28515625" bestFit="1" customWidth="1"/>
    <col min="6" max="17" width="9.28515625" bestFit="1" customWidth="1"/>
  </cols>
  <sheetData>
    <row r="1" spans="1:19">
      <c r="A1" s="88" t="s">
        <v>571</v>
      </c>
      <c r="B1" s="88"/>
      <c r="C1" s="88"/>
      <c r="D1" s="88"/>
      <c r="E1" s="88"/>
      <c r="F1" s="88"/>
      <c r="G1" s="88"/>
      <c r="H1" s="88"/>
      <c r="I1" s="88"/>
      <c r="J1" s="88"/>
      <c r="K1" s="88"/>
      <c r="L1" s="88"/>
      <c r="M1" s="88"/>
      <c r="N1" s="88"/>
      <c r="O1" s="88"/>
      <c r="P1" s="88"/>
      <c r="Q1" s="88"/>
    </row>
    <row r="2" spans="1:19">
      <c r="A2" s="88"/>
      <c r="B2" s="88"/>
      <c r="C2" s="88"/>
      <c r="D2" s="88"/>
      <c r="E2" s="88"/>
      <c r="F2" s="88"/>
      <c r="G2" s="88"/>
      <c r="H2" s="88"/>
      <c r="I2" s="88"/>
      <c r="J2" s="88"/>
      <c r="K2" s="88"/>
      <c r="L2" s="88"/>
      <c r="M2" s="88"/>
      <c r="N2" s="88"/>
      <c r="O2" s="88"/>
      <c r="P2" s="88"/>
      <c r="Q2" s="88"/>
    </row>
    <row r="4" spans="1:19">
      <c r="A4" s="18" t="s">
        <v>545</v>
      </c>
    </row>
    <row r="5" spans="1:19">
      <c r="A5" s="1"/>
      <c r="B5" s="1"/>
      <c r="C5" s="1"/>
      <c r="D5" s="1"/>
      <c r="E5" s="1"/>
      <c r="F5" s="1"/>
      <c r="G5" s="1"/>
      <c r="H5" s="1"/>
      <c r="I5" s="1"/>
      <c r="J5" s="1"/>
      <c r="K5" s="1"/>
      <c r="L5" s="1"/>
      <c r="M5" s="1"/>
      <c r="N5" s="1"/>
      <c r="O5" s="1"/>
      <c r="P5" s="1"/>
      <c r="Q5" s="1"/>
      <c r="R5" s="1"/>
      <c r="S5" s="1"/>
    </row>
    <row r="6" spans="1:19">
      <c r="A6" s="1" t="s">
        <v>569</v>
      </c>
      <c r="B6" s="1"/>
      <c r="C6" s="1"/>
      <c r="D6" s="1"/>
      <c r="E6" s="1"/>
      <c r="F6" s="1"/>
      <c r="G6" s="1"/>
      <c r="H6" s="1"/>
      <c r="I6" s="1"/>
      <c r="J6" s="1"/>
      <c r="K6" s="1"/>
      <c r="L6" s="1"/>
      <c r="M6" s="1"/>
      <c r="N6" s="1"/>
      <c r="O6" s="1"/>
      <c r="P6" s="1"/>
      <c r="Q6" s="1"/>
      <c r="R6" s="1"/>
      <c r="S6" s="1"/>
    </row>
    <row r="7" spans="1:19">
      <c r="A7" s="1"/>
      <c r="B7" s="1"/>
      <c r="C7" s="1"/>
      <c r="D7" s="1"/>
      <c r="E7" s="1"/>
      <c r="F7" s="1"/>
      <c r="G7" s="1"/>
      <c r="H7" s="1"/>
      <c r="I7" s="1"/>
      <c r="J7" s="1"/>
      <c r="K7" s="1"/>
      <c r="L7" s="1"/>
      <c r="M7" s="1"/>
      <c r="N7" s="1"/>
      <c r="O7" s="1"/>
      <c r="P7" s="1"/>
      <c r="Q7" s="1"/>
      <c r="R7" s="1"/>
      <c r="S7" s="1"/>
    </row>
    <row r="8" spans="1:19">
      <c r="A8" s="1"/>
      <c r="B8" s="91" t="s">
        <v>558</v>
      </c>
      <c r="C8" s="91"/>
      <c r="D8" s="91"/>
      <c r="E8" s="91"/>
      <c r="F8" s="91" t="s">
        <v>560</v>
      </c>
      <c r="G8" s="91"/>
      <c r="H8" s="91"/>
      <c r="I8" s="91"/>
      <c r="J8" s="1" t="s">
        <v>561</v>
      </c>
      <c r="K8" s="1"/>
      <c r="L8" s="1"/>
      <c r="M8" s="1"/>
      <c r="N8" s="91" t="s">
        <v>64</v>
      </c>
      <c r="O8" s="91"/>
      <c r="P8" s="91"/>
      <c r="Q8" s="91"/>
      <c r="R8" s="1"/>
      <c r="S8" s="1"/>
    </row>
    <row r="9" spans="1:19">
      <c r="A9" s="1"/>
      <c r="B9" s="1" t="s">
        <v>541</v>
      </c>
      <c r="C9" s="1" t="s">
        <v>559</v>
      </c>
      <c r="D9" s="1" t="s">
        <v>543</v>
      </c>
      <c r="E9" s="1" t="s">
        <v>544</v>
      </c>
      <c r="F9" s="1" t="s">
        <v>541</v>
      </c>
      <c r="G9" s="1" t="s">
        <v>559</v>
      </c>
      <c r="H9" s="1" t="s">
        <v>543</v>
      </c>
      <c r="I9" s="1" t="s">
        <v>544</v>
      </c>
      <c r="J9" s="1" t="s">
        <v>541</v>
      </c>
      <c r="K9" s="1" t="s">
        <v>559</v>
      </c>
      <c r="L9" s="1" t="s">
        <v>543</v>
      </c>
      <c r="M9" s="1" t="s">
        <v>544</v>
      </c>
      <c r="N9" s="1" t="s">
        <v>541</v>
      </c>
      <c r="O9" s="1" t="s">
        <v>559</v>
      </c>
      <c r="P9" s="1" t="s">
        <v>543</v>
      </c>
      <c r="Q9" s="1" t="s">
        <v>544</v>
      </c>
      <c r="R9" s="1"/>
      <c r="S9" s="1"/>
    </row>
    <row r="10" spans="1:19">
      <c r="A10" s="52" t="s">
        <v>546</v>
      </c>
      <c r="B10" s="53">
        <v>126049014</v>
      </c>
      <c r="C10" s="53">
        <v>56394900</v>
      </c>
      <c r="D10" s="53">
        <v>88000067</v>
      </c>
      <c r="E10" s="53">
        <v>84713119</v>
      </c>
      <c r="F10" s="92">
        <f>($B11+$B10)/(SUM($B10,$C10,$D10,$E10,$C11,$D11,$E11,B11))</f>
        <v>0.26025024559554066</v>
      </c>
      <c r="G10" s="92">
        <f>SUM(C10,C11)/(SUM($B10,$C10,$D10,$E10,$C11,$D11,$E11,B11))</f>
        <v>0.25804546776623638</v>
      </c>
      <c r="H10" s="92">
        <f>SUM(D10,D11)/(SUM($B10,$C10,$D10,$E10,$C11,$D11,$E11,B11))</f>
        <v>0.24231982832386006</v>
      </c>
      <c r="I10" s="92">
        <f>SUM(E10,E11)/(SUM($B10,$C10,$D10,$E10,$C11,$D11,$E11,B11))</f>
        <v>0.23938445831436286</v>
      </c>
      <c r="J10" s="93">
        <f>AVERAGE(F10,F12)</f>
        <v>0.2444474111018409</v>
      </c>
      <c r="K10" s="93">
        <f>AVERAGE(G10,G12)</f>
        <v>0.24308087721835619</v>
      </c>
      <c r="L10" s="93">
        <f>AVERAGE(H10,H12)</f>
        <v>0.25879089314466741</v>
      </c>
      <c r="M10" s="93">
        <f>AVERAGE(I10,I12)</f>
        <v>0.25368081853513547</v>
      </c>
      <c r="N10" s="93">
        <f>AVERAGE(J10:J21)</f>
        <v>0.20913470949479943</v>
      </c>
      <c r="O10" s="93">
        <f>AVERAGE(K10:K21)</f>
        <v>0.20830237900361484</v>
      </c>
      <c r="P10" s="93">
        <f>AVERAGE(L10:L21)</f>
        <v>0.29447880884567118</v>
      </c>
      <c r="Q10" s="93">
        <f>AVERAGE(M10:M21)</f>
        <v>0.28808410265591455</v>
      </c>
      <c r="R10" s="1"/>
      <c r="S10" s="1"/>
    </row>
    <row r="11" spans="1:19">
      <c r="A11" s="52" t="s">
        <v>547</v>
      </c>
      <c r="B11" s="53">
        <v>58810431</v>
      </c>
      <c r="C11" s="53">
        <v>126898460</v>
      </c>
      <c r="D11" s="53">
        <v>84123148</v>
      </c>
      <c r="E11" s="53">
        <v>85325061</v>
      </c>
      <c r="F11" s="92"/>
      <c r="G11" s="92"/>
      <c r="H11" s="92"/>
      <c r="I11" s="92"/>
      <c r="J11" s="93"/>
      <c r="K11" s="93"/>
      <c r="L11" s="93"/>
      <c r="M11" s="93"/>
      <c r="N11" s="93"/>
      <c r="O11" s="93"/>
      <c r="P11" s="93"/>
      <c r="Q11" s="93"/>
      <c r="R11" s="1"/>
      <c r="S11" s="1"/>
    </row>
    <row r="12" spans="1:19">
      <c r="A12" s="52" t="s">
        <v>548</v>
      </c>
      <c r="B12" s="53">
        <v>95507743</v>
      </c>
      <c r="C12" s="53">
        <v>66119641</v>
      </c>
      <c r="D12" s="53">
        <v>99957130</v>
      </c>
      <c r="E12" s="53">
        <v>97011186</v>
      </c>
      <c r="F12" s="92">
        <f>($B13+$B12)/(SUM($B12,$C12,$D12,$E12,$C13,$D13,$E13,B13))</f>
        <v>0.22864457660814114</v>
      </c>
      <c r="G12" s="92">
        <f>SUM(C12,C13)/(SUM($B12,$C12,$D12,$E12,$C13,$D13,$E13,B13))</f>
        <v>0.22811628667047598</v>
      </c>
      <c r="H12" s="92">
        <f>SUM(D12,D13)/(SUM($B12,$C12,$D12,$E12,$C13,$D13,$E13,B13))</f>
        <v>0.27526195796547476</v>
      </c>
      <c r="I12" s="92">
        <f>SUM(E12,E13)/(SUM($B12,$C12,$D12,$E12,$C13,$D13,$E13,B13))</f>
        <v>0.2679771787559081</v>
      </c>
      <c r="J12" s="93"/>
      <c r="K12" s="93"/>
      <c r="L12" s="93"/>
      <c r="M12" s="93"/>
      <c r="N12" s="93"/>
      <c r="O12" s="93"/>
      <c r="P12" s="93"/>
      <c r="Q12" s="93"/>
      <c r="R12" s="1"/>
      <c r="S12" s="1"/>
    </row>
    <row r="13" spans="1:19" ht="15" customHeight="1">
      <c r="A13" s="52" t="s">
        <v>549</v>
      </c>
      <c r="B13" s="53">
        <v>68474181</v>
      </c>
      <c r="C13" s="53">
        <v>97483398</v>
      </c>
      <c r="D13" s="53">
        <v>97458379</v>
      </c>
      <c r="E13" s="53">
        <v>95179742</v>
      </c>
      <c r="F13" s="92"/>
      <c r="G13" s="92"/>
      <c r="H13" s="92"/>
      <c r="I13" s="92"/>
      <c r="J13" s="93"/>
      <c r="K13" s="93"/>
      <c r="L13" s="93"/>
      <c r="M13" s="93"/>
      <c r="N13" s="93"/>
      <c r="O13" s="93"/>
      <c r="P13" s="93"/>
      <c r="Q13" s="93"/>
      <c r="R13" s="1"/>
      <c r="S13" s="1"/>
    </row>
    <row r="14" spans="1:19">
      <c r="A14" s="52" t="s">
        <v>550</v>
      </c>
      <c r="B14" s="53">
        <v>94006596</v>
      </c>
      <c r="C14" s="53">
        <v>72080504</v>
      </c>
      <c r="D14" s="53">
        <v>126780339</v>
      </c>
      <c r="E14" s="53">
        <v>125126761</v>
      </c>
      <c r="F14" s="92">
        <f>($B15+$B14)/(SUM($B14,$C14,$D14,$E14,$C15,$D15,$E15,B15))</f>
        <v>0.19912462780584037</v>
      </c>
      <c r="G14" s="92">
        <f>SUM(C14,C15)/(SUM($B14,$C14,$D14,$E14,$C15,$D15,$E15,B15))</f>
        <v>0.19815064419554146</v>
      </c>
      <c r="H14" s="92">
        <f>SUM(D14,D15)/(SUM($B14,$C14,$D14,$E14,$C15,$D15,$E15,B15))</f>
        <v>0.30556932249299151</v>
      </c>
      <c r="I14" s="92">
        <f>SUM(E14,E15)/(SUM($B14,$C14,$D14,$E14,$C15,$D15,$E15,B15))</f>
        <v>0.29715540550562664</v>
      </c>
      <c r="J14" s="93">
        <f>AVERAGE(F14,F16)</f>
        <v>0.19727311760445443</v>
      </c>
      <c r="K14" s="93">
        <f>AVERAGE(G14,G16)</f>
        <v>0.1962020378849294</v>
      </c>
      <c r="L14" s="93">
        <f>AVERAGE(H14,H16)</f>
        <v>0.30699605437913924</v>
      </c>
      <c r="M14" s="93">
        <f>AVERAGE(I14,I16)</f>
        <v>0.29952879013147693</v>
      </c>
      <c r="N14" s="93"/>
      <c r="O14" s="93"/>
      <c r="P14" s="93"/>
      <c r="Q14" s="93"/>
      <c r="R14" s="1"/>
      <c r="S14" s="1"/>
    </row>
    <row r="15" spans="1:19" ht="15" customHeight="1">
      <c r="A15" s="52" t="s">
        <v>552</v>
      </c>
      <c r="B15" s="53">
        <v>72459283</v>
      </c>
      <c r="C15" s="53">
        <v>93571136</v>
      </c>
      <c r="D15" s="53">
        <v>128672070</v>
      </c>
      <c r="E15" s="53">
        <v>123291711</v>
      </c>
      <c r="F15" s="92"/>
      <c r="G15" s="92"/>
      <c r="H15" s="92"/>
      <c r="I15" s="92"/>
      <c r="J15" s="93"/>
      <c r="K15" s="93"/>
      <c r="L15" s="93"/>
      <c r="M15" s="93"/>
      <c r="N15" s="93"/>
      <c r="O15" s="93"/>
      <c r="P15" s="93"/>
      <c r="Q15" s="93"/>
      <c r="R15" s="1"/>
      <c r="S15" s="1"/>
    </row>
    <row r="16" spans="1:19">
      <c r="A16" s="52" t="s">
        <v>553</v>
      </c>
      <c r="B16" s="53">
        <v>125981173</v>
      </c>
      <c r="C16" s="53">
        <v>98556270</v>
      </c>
      <c r="D16" s="53">
        <v>177379645</v>
      </c>
      <c r="E16" s="53">
        <v>172598737</v>
      </c>
      <c r="F16" s="92">
        <f>($B17+$B16)/(SUM($B16,$C16,$D16,$E16,$C17,$D17,$E17,B17))</f>
        <v>0.19542160740306849</v>
      </c>
      <c r="G16" s="92">
        <f>SUM(C16,C17)/(SUM($B16,$C16,$D16,$E16,$C17,$D17,$E17,B17))</f>
        <v>0.19425343157431738</v>
      </c>
      <c r="H16" s="92">
        <f>SUM(D16,D17)/(SUM($B16,$C16,$D16,$E16,$C17,$D17,$E17,B17))</f>
        <v>0.30842278626528696</v>
      </c>
      <c r="I16" s="92">
        <f>SUM(E16,E17)/(SUM($B16,$C16,$D16,$E16,$C17,$D17,$E17,B17))</f>
        <v>0.30190217475732717</v>
      </c>
      <c r="J16" s="93"/>
      <c r="K16" s="93"/>
      <c r="L16" s="93"/>
      <c r="M16" s="93"/>
      <c r="N16" s="93"/>
      <c r="O16" s="93"/>
      <c r="P16" s="93"/>
      <c r="Q16" s="93"/>
      <c r="R16" s="1"/>
      <c r="S16" s="1"/>
    </row>
    <row r="17" spans="1:19" ht="15" customHeight="1">
      <c r="A17" s="52" t="s">
        <v>551</v>
      </c>
      <c r="B17" s="53">
        <v>98564439</v>
      </c>
      <c r="C17" s="53">
        <v>124647071</v>
      </c>
      <c r="D17" s="53">
        <v>177007898</v>
      </c>
      <c r="E17" s="53">
        <v>174296417</v>
      </c>
      <c r="F17" s="92"/>
      <c r="G17" s="92"/>
      <c r="H17" s="92"/>
      <c r="I17" s="92"/>
      <c r="J17" s="93"/>
      <c r="K17" s="93"/>
      <c r="L17" s="93"/>
      <c r="M17" s="93"/>
      <c r="N17" s="93"/>
      <c r="O17" s="93"/>
      <c r="P17" s="93"/>
      <c r="Q17" s="93"/>
      <c r="R17" s="1"/>
      <c r="S17" s="1"/>
    </row>
    <row r="18" spans="1:19">
      <c r="A18" s="52" t="s">
        <v>554</v>
      </c>
      <c r="B18" s="53">
        <v>72682898</v>
      </c>
      <c r="C18" s="53">
        <v>60128571</v>
      </c>
      <c r="D18" s="53">
        <v>112817252</v>
      </c>
      <c r="E18" s="53">
        <v>111569279</v>
      </c>
      <c r="F18" s="92">
        <f>($B19+$B18)/(SUM($B18,$C18,$D18,$E18,$C19,$D19,$E19,B19))</f>
        <v>0.18615555098292824</v>
      </c>
      <c r="G18" s="92">
        <f>SUM(C18,C19)/(SUM($B18,$C18,$D18,$E18,$C19,$D19,$E19,B19))</f>
        <v>0.18633978073785407</v>
      </c>
      <c r="H18" s="92">
        <f>SUM(D18,D19)/(SUM($B18,$C18,$D18,$E18,$C19,$D19,$E19,B19))</f>
        <v>0.31727417986662859</v>
      </c>
      <c r="I18" s="92">
        <f>SUM(E18,E19)/(SUM($B18,$C18,$D18,$E18,$C19,$D19,$E19,B19))</f>
        <v>0.3102304884125891</v>
      </c>
      <c r="J18" s="93">
        <f>AVERAGE(F18,F20)</f>
        <v>0.18568359977810295</v>
      </c>
      <c r="K18" s="93">
        <f>AVERAGE(G18,G20)</f>
        <v>0.18562422190755892</v>
      </c>
      <c r="L18" s="93">
        <f>AVERAGE(H18,H20)</f>
        <v>0.31764947901320684</v>
      </c>
      <c r="M18" s="93">
        <f>AVERAGE(I18,I20)</f>
        <v>0.31104269930113126</v>
      </c>
      <c r="N18" s="93"/>
      <c r="O18" s="93"/>
      <c r="P18" s="93"/>
      <c r="Q18" s="93"/>
      <c r="R18" s="1"/>
      <c r="S18" s="1"/>
    </row>
    <row r="19" spans="1:19" ht="15" customHeight="1">
      <c r="A19" s="52" t="s">
        <v>555</v>
      </c>
      <c r="B19" s="53">
        <v>60305883</v>
      </c>
      <c r="C19" s="53">
        <v>72991823</v>
      </c>
      <c r="D19" s="53">
        <v>113842153</v>
      </c>
      <c r="E19" s="53">
        <v>110058141</v>
      </c>
      <c r="F19" s="92"/>
      <c r="G19" s="92"/>
      <c r="H19" s="92"/>
      <c r="I19" s="92"/>
      <c r="J19" s="93"/>
      <c r="K19" s="93"/>
      <c r="L19" s="93"/>
      <c r="M19" s="93"/>
      <c r="N19" s="93"/>
      <c r="O19" s="93"/>
      <c r="P19" s="93"/>
      <c r="Q19" s="93"/>
      <c r="R19" s="1"/>
      <c r="S19" s="1"/>
    </row>
    <row r="20" spans="1:19">
      <c r="A20" s="52" t="s">
        <v>556</v>
      </c>
      <c r="B20" s="53">
        <v>61179800</v>
      </c>
      <c r="C20" s="53">
        <v>50608003</v>
      </c>
      <c r="D20" s="53">
        <v>95553104</v>
      </c>
      <c r="E20" s="53">
        <v>94965643</v>
      </c>
      <c r="F20" s="92">
        <f>($B21+$B20)/(SUM($B20,$C20,$D20,$E20,$C21,$D21,$E21,B21))</f>
        <v>0.18521164857327768</v>
      </c>
      <c r="G20" s="92">
        <f>SUM(C20,C21)/(SUM($B20,$C20,$D20,$E20,$C21,$D21,$E21,B21))</f>
        <v>0.18490866307726378</v>
      </c>
      <c r="H20" s="92">
        <f>SUM(D20,D21)/(SUM($B20,$C20,$D20,$E20,$C21,$D21,$E21,B21))</f>
        <v>0.31802477815978514</v>
      </c>
      <c r="I20" s="92">
        <f>SUM(E20,E21)/(SUM($B20,$C20,$D20,$E20,$C21,$D21,$E21,B21))</f>
        <v>0.31185491018967337</v>
      </c>
      <c r="J20" s="93"/>
      <c r="K20" s="93"/>
      <c r="L20" s="93"/>
      <c r="M20" s="93"/>
      <c r="N20" s="93"/>
      <c r="O20" s="93"/>
      <c r="P20" s="93"/>
      <c r="Q20" s="93"/>
      <c r="R20" s="1"/>
      <c r="S20" s="1"/>
    </row>
    <row r="21" spans="1:19" ht="15" customHeight="1">
      <c r="A21" s="52" t="s">
        <v>557</v>
      </c>
      <c r="B21" s="53">
        <v>50801589</v>
      </c>
      <c r="C21" s="53">
        <v>61190197</v>
      </c>
      <c r="D21" s="53">
        <v>96728843</v>
      </c>
      <c r="E21" s="53">
        <v>93585921</v>
      </c>
      <c r="F21" s="92"/>
      <c r="G21" s="92"/>
      <c r="H21" s="92"/>
      <c r="I21" s="92"/>
      <c r="J21" s="93"/>
      <c r="K21" s="93"/>
      <c r="L21" s="93"/>
      <c r="M21" s="93"/>
      <c r="N21" s="93"/>
      <c r="O21" s="93"/>
      <c r="P21" s="93"/>
      <c r="Q21" s="93"/>
      <c r="R21" s="1"/>
      <c r="S21" s="1"/>
    </row>
    <row r="22" spans="1:19">
      <c r="A22" s="1"/>
      <c r="B22" s="1"/>
      <c r="C22" s="1"/>
      <c r="D22" s="1"/>
      <c r="E22" s="1"/>
      <c r="F22" s="1"/>
      <c r="G22" s="1"/>
      <c r="H22" s="1"/>
      <c r="I22" s="1"/>
      <c r="J22" s="1"/>
      <c r="K22" s="1"/>
      <c r="L22" s="1"/>
      <c r="M22" s="1"/>
      <c r="N22" s="1"/>
      <c r="O22" s="1"/>
      <c r="P22" s="1"/>
      <c r="Q22" s="1"/>
      <c r="R22" s="1"/>
      <c r="S22" s="1"/>
    </row>
    <row r="23" spans="1:19">
      <c r="A23" s="10" t="s">
        <v>562</v>
      </c>
      <c r="B23" s="1"/>
      <c r="C23" s="1"/>
      <c r="D23" s="1"/>
      <c r="E23" s="1"/>
      <c r="F23" s="1"/>
      <c r="G23" s="1"/>
      <c r="H23" s="1"/>
      <c r="I23" s="1"/>
      <c r="J23" s="1"/>
      <c r="K23" s="1"/>
      <c r="L23" s="1"/>
      <c r="M23" s="1"/>
      <c r="N23" s="1"/>
      <c r="O23" s="1"/>
      <c r="P23" s="1"/>
      <c r="Q23" s="1"/>
      <c r="R23" s="1"/>
      <c r="S23" s="1"/>
    </row>
    <row r="24" spans="1:19">
      <c r="A24" s="1"/>
      <c r="B24" s="1"/>
      <c r="C24" s="1"/>
      <c r="D24" s="1"/>
      <c r="E24" s="1"/>
      <c r="F24" s="1"/>
      <c r="G24" s="1"/>
      <c r="H24" s="1"/>
      <c r="I24" s="1"/>
      <c r="J24" s="1"/>
      <c r="K24" s="1"/>
      <c r="L24" s="1"/>
      <c r="M24" s="1"/>
      <c r="N24" s="1"/>
      <c r="O24" s="1"/>
      <c r="P24" s="1"/>
      <c r="Q24" s="1"/>
      <c r="R24" s="1"/>
      <c r="S24" s="1"/>
    </row>
    <row r="25" spans="1:19">
      <c r="A25" s="1" t="s">
        <v>570</v>
      </c>
      <c r="B25" s="1"/>
      <c r="C25" s="1"/>
      <c r="D25" s="1"/>
      <c r="E25" s="1"/>
      <c r="F25" s="1"/>
      <c r="G25" s="1"/>
      <c r="H25" s="1"/>
      <c r="I25" s="1"/>
      <c r="J25" s="1"/>
      <c r="K25" s="1"/>
      <c r="L25" s="1"/>
      <c r="M25" s="1"/>
      <c r="N25" s="1"/>
      <c r="O25" s="1"/>
      <c r="P25" s="1"/>
      <c r="Q25" s="1"/>
      <c r="R25" s="1"/>
      <c r="S25" s="1"/>
    </row>
    <row r="26" spans="1:19">
      <c r="A26" s="1"/>
      <c r="B26" s="1"/>
      <c r="C26" s="1"/>
      <c r="D26" s="1"/>
      <c r="E26" s="1"/>
      <c r="F26" s="1"/>
      <c r="G26" s="1"/>
      <c r="H26" s="1"/>
      <c r="I26" s="1"/>
      <c r="J26" s="1"/>
      <c r="K26" s="1"/>
      <c r="L26" s="1"/>
      <c r="M26" s="1"/>
      <c r="N26" s="1"/>
      <c r="O26" s="1"/>
      <c r="P26" s="1"/>
      <c r="Q26" s="1"/>
      <c r="R26" s="1"/>
      <c r="S26" s="1"/>
    </row>
    <row r="27" spans="1:19">
      <c r="B27" s="1" t="s">
        <v>541</v>
      </c>
      <c r="C27" s="1" t="s">
        <v>559</v>
      </c>
      <c r="D27" s="1" t="s">
        <v>544</v>
      </c>
      <c r="E27" s="1" t="s">
        <v>543</v>
      </c>
      <c r="F27" s="1"/>
      <c r="G27" s="1"/>
      <c r="H27" s="1"/>
      <c r="I27" s="1"/>
      <c r="J27" s="1"/>
      <c r="K27" s="1"/>
      <c r="L27" s="1"/>
      <c r="M27" s="1"/>
      <c r="N27" s="1"/>
      <c r="O27" s="1"/>
      <c r="P27" s="1"/>
      <c r="Q27" s="1"/>
      <c r="R27" s="1"/>
      <c r="S27" s="1"/>
    </row>
    <row r="28" spans="1:19">
      <c r="A28" s="1" t="s">
        <v>563</v>
      </c>
      <c r="B28" s="1">
        <v>691</v>
      </c>
      <c r="C28" s="1">
        <v>646</v>
      </c>
      <c r="D28" s="1">
        <v>686</v>
      </c>
      <c r="E28" s="1">
        <v>1075</v>
      </c>
      <c r="F28" s="1"/>
      <c r="G28" s="1"/>
      <c r="H28" s="1"/>
      <c r="I28" s="1"/>
      <c r="J28" s="1"/>
      <c r="K28" s="1"/>
      <c r="L28" s="1"/>
      <c r="M28" s="1"/>
      <c r="N28" s="1"/>
      <c r="O28" s="1"/>
      <c r="P28" s="1"/>
      <c r="Q28" s="1"/>
      <c r="R28" s="1"/>
      <c r="S28" s="1"/>
    </row>
    <row r="29" spans="1:19">
      <c r="A29" s="1" t="s">
        <v>564</v>
      </c>
      <c r="B29" s="1">
        <v>335</v>
      </c>
      <c r="C29" s="1">
        <v>312</v>
      </c>
      <c r="D29" s="1">
        <v>355</v>
      </c>
      <c r="E29" s="1">
        <v>520</v>
      </c>
      <c r="F29" s="1"/>
      <c r="G29" s="1"/>
      <c r="H29" s="1"/>
      <c r="I29" s="1"/>
      <c r="J29" s="1"/>
      <c r="K29" s="1"/>
      <c r="L29" s="1"/>
      <c r="M29" s="1"/>
      <c r="N29" s="1"/>
      <c r="O29" s="1"/>
      <c r="P29" s="1"/>
      <c r="Q29" s="1"/>
      <c r="R29" s="1"/>
      <c r="S29" s="1"/>
    </row>
    <row r="30" spans="1:19">
      <c r="A30" s="1" t="s">
        <v>2</v>
      </c>
      <c r="B30" s="1">
        <f>SUM(B28:B29)/SUM($B28:$E29)</f>
        <v>0.22207792207792207</v>
      </c>
      <c r="C30" s="1">
        <f>SUM(C28:C29)/SUM($B28:$E29)</f>
        <v>0.20735930735930735</v>
      </c>
      <c r="D30" s="1">
        <f>SUM(D28:D29)/SUM($B28:$E29)</f>
        <v>0.22532467532467532</v>
      </c>
      <c r="E30" s="1">
        <f>SUM(E28:E29)/SUM($B28:$E29)</f>
        <v>0.34523809523809523</v>
      </c>
      <c r="F30" s="1"/>
      <c r="G30" s="1"/>
      <c r="H30" s="1"/>
      <c r="I30" s="1"/>
      <c r="J30" s="1"/>
      <c r="K30" s="1"/>
      <c r="L30" s="1"/>
      <c r="M30" s="1"/>
      <c r="N30" s="1"/>
      <c r="O30" s="1"/>
      <c r="P30" s="1"/>
      <c r="Q30" s="1"/>
      <c r="R30" s="1"/>
      <c r="S30" s="1"/>
    </row>
    <row r="31" spans="1:19">
      <c r="A31" s="1"/>
      <c r="B31" s="1"/>
      <c r="C31" s="1"/>
      <c r="D31" s="1"/>
      <c r="E31" s="1"/>
      <c r="F31" s="1"/>
      <c r="G31" s="1"/>
      <c r="H31" s="1"/>
      <c r="I31" s="1"/>
      <c r="J31" s="1"/>
      <c r="K31" s="1"/>
      <c r="L31" s="1"/>
      <c r="M31" s="1"/>
      <c r="N31" s="1"/>
      <c r="O31" s="1"/>
      <c r="P31" s="1"/>
      <c r="Q31" s="1"/>
      <c r="R31" s="1"/>
      <c r="S31" s="1"/>
    </row>
    <row r="32" spans="1:19">
      <c r="A32" s="18" t="s">
        <v>565</v>
      </c>
      <c r="B32" s="1"/>
      <c r="C32" s="1"/>
      <c r="D32" s="1"/>
      <c r="E32" s="1"/>
      <c r="F32" s="1"/>
      <c r="G32" s="1"/>
      <c r="H32" s="1"/>
      <c r="I32" s="1"/>
      <c r="J32" s="1"/>
      <c r="K32" s="1"/>
      <c r="L32" s="1"/>
      <c r="M32" s="1"/>
      <c r="N32" s="1"/>
      <c r="O32" s="1"/>
      <c r="P32" s="1"/>
      <c r="Q32" s="1"/>
      <c r="R32" s="1"/>
      <c r="S32" s="1"/>
    </row>
    <row r="33" spans="1:19">
      <c r="A33" s="1"/>
      <c r="B33" s="1"/>
      <c r="C33" s="1"/>
      <c r="D33" s="1"/>
      <c r="E33" s="1"/>
      <c r="F33" s="1"/>
      <c r="G33" s="1"/>
      <c r="H33" s="1"/>
      <c r="I33" s="1"/>
      <c r="J33" s="1"/>
      <c r="K33" s="1"/>
      <c r="L33" s="1"/>
      <c r="M33" s="1"/>
      <c r="N33" s="1"/>
      <c r="O33" s="1"/>
      <c r="P33" s="1"/>
      <c r="Q33" s="1"/>
      <c r="R33" s="1"/>
      <c r="S33" s="1"/>
    </row>
    <row r="34" spans="1:19">
      <c r="A34" s="1" t="s">
        <v>566</v>
      </c>
      <c r="B34" s="1"/>
      <c r="C34" s="1"/>
      <c r="D34" s="1"/>
      <c r="E34" s="1"/>
      <c r="F34" s="1"/>
      <c r="G34" s="1"/>
      <c r="H34" s="1"/>
      <c r="I34" s="1"/>
      <c r="J34" s="1"/>
      <c r="K34" s="1"/>
      <c r="L34" s="1"/>
      <c r="M34" s="1"/>
      <c r="N34" s="1"/>
      <c r="O34" s="1"/>
      <c r="P34" s="1"/>
      <c r="Q34" s="1"/>
      <c r="R34" s="1"/>
      <c r="S34" s="1"/>
    </row>
    <row r="35" spans="1:19">
      <c r="A35" s="1"/>
      <c r="B35" s="1"/>
      <c r="C35" s="1"/>
      <c r="D35" s="1"/>
      <c r="E35" s="1"/>
      <c r="F35" s="1"/>
      <c r="G35" s="1"/>
      <c r="H35" s="1"/>
      <c r="I35" s="1"/>
      <c r="J35" s="1"/>
      <c r="K35" s="1"/>
      <c r="L35" s="1"/>
      <c r="M35" s="1"/>
      <c r="N35" s="1"/>
      <c r="O35" s="1"/>
      <c r="P35" s="1"/>
      <c r="Q35" s="1"/>
      <c r="R35" s="1"/>
      <c r="S35" s="1"/>
    </row>
    <row r="36" spans="1:19">
      <c r="A36" s="1"/>
      <c r="B36" s="1" t="s">
        <v>541</v>
      </c>
      <c r="C36" s="1" t="s">
        <v>559</v>
      </c>
      <c r="D36" s="1" t="s">
        <v>544</v>
      </c>
      <c r="E36" s="1" t="s">
        <v>543</v>
      </c>
      <c r="G36" s="1"/>
      <c r="H36" s="1"/>
      <c r="I36" s="1"/>
      <c r="J36" s="1"/>
      <c r="K36" s="1"/>
      <c r="L36" s="1"/>
      <c r="M36" s="1"/>
      <c r="N36" s="1"/>
      <c r="O36" s="1"/>
      <c r="P36" s="1"/>
      <c r="Q36" s="1"/>
      <c r="R36" s="1"/>
      <c r="S36" s="1"/>
    </row>
    <row r="37" spans="1:19">
      <c r="A37" s="1" t="s">
        <v>567</v>
      </c>
      <c r="B37">
        <v>11</v>
      </c>
      <c r="C37">
        <v>14</v>
      </c>
      <c r="D37">
        <v>25</v>
      </c>
      <c r="E37">
        <v>21</v>
      </c>
      <c r="G37" s="1"/>
      <c r="H37" s="1"/>
      <c r="I37" s="1"/>
      <c r="J37" s="1"/>
      <c r="K37" s="1"/>
      <c r="L37" s="1"/>
      <c r="M37" s="1"/>
      <c r="N37" s="1"/>
      <c r="O37" s="1"/>
      <c r="P37" s="1"/>
      <c r="Q37" s="1"/>
      <c r="R37" s="1"/>
      <c r="S37" s="1"/>
    </row>
    <row r="38" spans="1:19">
      <c r="A38" s="1" t="s">
        <v>568</v>
      </c>
      <c r="B38" s="1">
        <v>14</v>
      </c>
      <c r="C38" s="1">
        <v>17</v>
      </c>
      <c r="D38" s="1">
        <v>20</v>
      </c>
      <c r="E38" s="1">
        <v>25</v>
      </c>
      <c r="G38" s="1"/>
      <c r="H38" s="1"/>
      <c r="I38" s="1"/>
      <c r="J38" s="1"/>
      <c r="K38" s="1"/>
      <c r="L38" s="1"/>
      <c r="M38" s="1"/>
      <c r="N38" s="1"/>
      <c r="O38" s="1"/>
      <c r="P38" s="1"/>
      <c r="Q38" s="1"/>
      <c r="R38" s="1"/>
      <c r="S38" s="1"/>
    </row>
    <row r="39" spans="1:19">
      <c r="A39" s="1" t="s">
        <v>2</v>
      </c>
      <c r="B39" s="1">
        <f>SUM(B37:B38)/SUM($B37:$E38)</f>
        <v>0.17006802721088435</v>
      </c>
      <c r="C39" s="1">
        <f>SUM(C37:C38)/SUM($B37:$E38)</f>
        <v>0.21088435374149661</v>
      </c>
      <c r="D39" s="1">
        <f>SUM(D37:D38)/SUM($B37:$E38)</f>
        <v>0.30612244897959184</v>
      </c>
      <c r="E39" s="1">
        <f>SUM(E37:E38)/SUM($B37:$E38)</f>
        <v>0.31292517006802723</v>
      </c>
      <c r="F39" s="1"/>
      <c r="G39" s="1"/>
      <c r="H39" s="1"/>
      <c r="I39" s="1"/>
      <c r="J39" s="1"/>
      <c r="K39" s="1"/>
      <c r="L39" s="1"/>
      <c r="M39" s="1"/>
      <c r="N39" s="1"/>
      <c r="O39" s="1"/>
      <c r="P39" s="1"/>
      <c r="Q39" s="1"/>
      <c r="R39" s="1"/>
      <c r="S39" s="1"/>
    </row>
    <row r="40" spans="1:19">
      <c r="A40" s="1"/>
      <c r="B40" s="1"/>
      <c r="C40" s="1"/>
      <c r="D40" s="1"/>
      <c r="E40" s="1"/>
      <c r="F40" s="1"/>
      <c r="G40" s="1"/>
      <c r="H40" s="1"/>
      <c r="I40" s="1"/>
      <c r="J40" s="1"/>
      <c r="K40" s="1"/>
      <c r="L40" s="1"/>
      <c r="M40" s="1"/>
      <c r="N40" s="1"/>
      <c r="O40" s="1"/>
      <c r="P40" s="1"/>
      <c r="Q40" s="1"/>
      <c r="R40" s="1"/>
      <c r="S40" s="1"/>
    </row>
    <row r="41" spans="1:19">
      <c r="A41" s="18" t="s">
        <v>493</v>
      </c>
      <c r="C41" s="1"/>
      <c r="D41" s="1"/>
      <c r="E41" s="1"/>
      <c r="F41" s="1"/>
      <c r="G41" s="1"/>
      <c r="H41" s="1"/>
      <c r="I41" s="1"/>
      <c r="J41" s="1"/>
      <c r="K41" s="1"/>
      <c r="L41" s="1"/>
      <c r="M41" s="1"/>
      <c r="N41" s="1"/>
      <c r="O41" s="1"/>
      <c r="P41" s="1"/>
      <c r="Q41" s="1"/>
      <c r="R41" s="1"/>
      <c r="S41" s="1"/>
    </row>
    <row r="42" spans="1:19">
      <c r="A42" s="1"/>
      <c r="J42" s="1"/>
      <c r="K42" s="1"/>
      <c r="L42" s="1"/>
      <c r="M42" s="1"/>
      <c r="N42" s="1"/>
      <c r="O42" s="1"/>
      <c r="Q42" s="1"/>
      <c r="R42" s="1"/>
      <c r="S42" s="1"/>
    </row>
    <row r="43" spans="1:19">
      <c r="A43" s="1"/>
      <c r="B43" s="1" t="s">
        <v>541</v>
      </c>
      <c r="C43" s="1" t="s">
        <v>559</v>
      </c>
      <c r="D43" s="1" t="s">
        <v>544</v>
      </c>
      <c r="E43" s="1" t="s">
        <v>543</v>
      </c>
      <c r="F43" s="1" t="s">
        <v>68</v>
      </c>
      <c r="J43" s="1"/>
      <c r="K43" s="1"/>
      <c r="L43" s="1"/>
      <c r="M43" s="1"/>
      <c r="N43" s="1"/>
      <c r="O43" s="1"/>
      <c r="Q43" s="1"/>
      <c r="R43" s="1"/>
      <c r="S43" s="1"/>
    </row>
    <row r="44" spans="1:19">
      <c r="A44" s="1" t="s">
        <v>9</v>
      </c>
      <c r="B44" s="1">
        <v>0.20913470949479943</v>
      </c>
      <c r="C44" s="1">
        <v>0.20830237900361484</v>
      </c>
      <c r="D44" s="1">
        <v>0.29447880884567118</v>
      </c>
      <c r="E44">
        <v>0.28808410265591455</v>
      </c>
      <c r="F44">
        <v>0.05</v>
      </c>
      <c r="J44" s="1"/>
      <c r="K44" s="1"/>
      <c r="L44" s="1"/>
      <c r="M44" s="1"/>
      <c r="N44" s="1"/>
      <c r="O44" s="1"/>
      <c r="P44" s="1"/>
      <c r="Q44" s="1"/>
      <c r="R44" s="1"/>
      <c r="S44" s="1"/>
    </row>
    <row r="45" spans="1:19">
      <c r="A45" s="1" t="s">
        <v>10</v>
      </c>
      <c r="B45" s="1">
        <v>0.22207792207792207</v>
      </c>
      <c r="C45" s="1">
        <v>0.20735930735930735</v>
      </c>
      <c r="D45" s="1">
        <v>0.22532467532467532</v>
      </c>
      <c r="E45">
        <v>0.34523809523809523</v>
      </c>
      <c r="F45">
        <v>0.75</v>
      </c>
      <c r="J45" s="1"/>
      <c r="K45" s="1"/>
      <c r="L45" s="1"/>
      <c r="M45" s="1"/>
      <c r="N45" s="1"/>
      <c r="O45" s="1"/>
      <c r="P45" s="1"/>
      <c r="Q45" s="1"/>
      <c r="R45" s="1"/>
      <c r="S45" s="1"/>
    </row>
    <row r="46" spans="1:19">
      <c r="A46" s="1" t="s">
        <v>11</v>
      </c>
      <c r="B46" s="1">
        <v>0.17006802721088435</v>
      </c>
      <c r="C46" s="1">
        <v>0.21088435374149661</v>
      </c>
      <c r="D46" s="1">
        <v>0.30612244897959184</v>
      </c>
      <c r="E46" s="1">
        <v>0.31292517006802723</v>
      </c>
      <c r="F46" s="1">
        <v>0.2</v>
      </c>
      <c r="G46" s="1"/>
      <c r="H46" s="1"/>
      <c r="I46" s="1"/>
      <c r="J46" s="1"/>
      <c r="K46" s="1"/>
      <c r="L46" s="1"/>
      <c r="M46" s="1"/>
      <c r="N46" s="1"/>
      <c r="O46" s="1"/>
      <c r="P46" s="1"/>
      <c r="Q46" s="1"/>
      <c r="R46" s="1"/>
      <c r="S46" s="1"/>
    </row>
    <row r="47" spans="1:19">
      <c r="A47" s="1" t="s">
        <v>572</v>
      </c>
      <c r="B47" s="5">
        <f>SUMPRODUCT(B44:B46,F44:F46)</f>
        <v>0.21102878247535839</v>
      </c>
      <c r="C47" s="5">
        <f>SUMPRODUCT(C44:C46,F44:F46)</f>
        <v>0.20811147021796056</v>
      </c>
      <c r="D47" s="5">
        <f>SUMPRODUCT(D44:D46,F44:F46)</f>
        <v>0.24494193673170842</v>
      </c>
      <c r="E47" s="5">
        <f>SUMPRODUCT(E44:E46,F44:F46)</f>
        <v>0.33591781057497255</v>
      </c>
      <c r="F47" s="1">
        <v>1</v>
      </c>
      <c r="G47" s="1"/>
      <c r="H47" s="1"/>
      <c r="I47" s="1"/>
      <c r="J47" s="1"/>
      <c r="K47" s="1"/>
      <c r="L47" s="1"/>
      <c r="M47" s="1"/>
      <c r="N47" s="1"/>
      <c r="O47" s="1"/>
      <c r="P47" s="1"/>
      <c r="Q47" s="1"/>
      <c r="R47" s="1"/>
      <c r="S47" s="1"/>
    </row>
    <row r="48" spans="1:19">
      <c r="A48" s="1"/>
    </row>
    <row r="49" spans="1:17">
      <c r="A49" s="18" t="s">
        <v>573</v>
      </c>
    </row>
    <row r="51" spans="1:17">
      <c r="A51" s="88" t="s">
        <v>597</v>
      </c>
      <c r="B51" s="88"/>
      <c r="C51" s="88"/>
      <c r="D51" s="88"/>
      <c r="E51" s="88"/>
      <c r="F51" s="88"/>
      <c r="G51" s="88"/>
      <c r="H51" s="88"/>
      <c r="I51" s="88"/>
      <c r="J51" s="88"/>
      <c r="K51" s="88"/>
      <c r="L51" s="88"/>
      <c r="M51" s="88"/>
      <c r="N51" s="88"/>
      <c r="O51" s="88"/>
      <c r="P51" s="88"/>
      <c r="Q51" s="88"/>
    </row>
    <row r="52" spans="1:17">
      <c r="A52" s="88"/>
      <c r="B52" s="88"/>
      <c r="C52" s="88"/>
      <c r="D52" s="88"/>
      <c r="E52" s="88"/>
      <c r="F52" s="88"/>
      <c r="G52" s="88"/>
      <c r="H52" s="88"/>
      <c r="I52" s="88"/>
      <c r="J52" s="88"/>
      <c r="K52" s="88"/>
      <c r="L52" s="88"/>
      <c r="M52" s="88"/>
      <c r="N52" s="88"/>
      <c r="O52" s="88"/>
      <c r="P52" s="88"/>
      <c r="Q52" s="88"/>
    </row>
    <row r="53" spans="1:17">
      <c r="A53" s="25"/>
      <c r="B53" s="25"/>
      <c r="C53" s="25"/>
      <c r="D53" s="25"/>
      <c r="E53" s="25"/>
      <c r="F53" s="25"/>
      <c r="G53" s="25"/>
      <c r="H53" s="25"/>
      <c r="I53" s="25"/>
      <c r="J53" s="25"/>
      <c r="K53" s="25"/>
      <c r="L53" s="25"/>
      <c r="M53" s="25"/>
      <c r="N53" s="25"/>
      <c r="O53" s="25"/>
      <c r="P53" s="25"/>
      <c r="Q53" s="25"/>
    </row>
    <row r="54" spans="1:17">
      <c r="A54" s="1"/>
      <c r="F54" s="1" t="s">
        <v>578</v>
      </c>
    </row>
    <row r="55" spans="1:17">
      <c r="C55" s="1" t="s">
        <v>574</v>
      </c>
      <c r="D55" s="1" t="s">
        <v>575</v>
      </c>
      <c r="E55" s="1" t="s">
        <v>8</v>
      </c>
      <c r="F55" s="1" t="s">
        <v>427</v>
      </c>
      <c r="G55" s="1" t="s">
        <v>579</v>
      </c>
    </row>
    <row r="56" spans="1:17">
      <c r="B56" s="1" t="s">
        <v>25</v>
      </c>
      <c r="C56" s="1">
        <v>0.21102878247535839</v>
      </c>
      <c r="D56" s="1">
        <f>246-18</f>
        <v>228</v>
      </c>
      <c r="E56" s="3">
        <f>1/$D$60*C56*1000</f>
        <v>0.69968215877694018</v>
      </c>
      <c r="F56" t="s">
        <v>212</v>
      </c>
      <c r="G56" s="1" t="s">
        <v>36</v>
      </c>
    </row>
    <row r="57" spans="1:17">
      <c r="B57" s="1" t="s">
        <v>21</v>
      </c>
      <c r="C57">
        <v>0.20811147021796056</v>
      </c>
      <c r="D57" s="1">
        <f>323-18</f>
        <v>305</v>
      </c>
      <c r="E57" s="3">
        <f>1/$D$60*C57*1000</f>
        <v>0.69000958561350978</v>
      </c>
      <c r="F57" t="s">
        <v>582</v>
      </c>
      <c r="G57" s="1" t="s">
        <v>580</v>
      </c>
    </row>
    <row r="58" spans="1:17">
      <c r="B58" s="1" t="s">
        <v>22</v>
      </c>
      <c r="C58">
        <v>0.24494193673170842</v>
      </c>
      <c r="D58" s="1">
        <f>322-18</f>
        <v>304</v>
      </c>
      <c r="E58" s="3">
        <f>1/$D$60*C58*1000</f>
        <v>0.81212383001573951</v>
      </c>
      <c r="F58" t="s">
        <v>213</v>
      </c>
      <c r="G58" s="1" t="s">
        <v>78</v>
      </c>
      <c r="K58" s="24"/>
    </row>
    <row r="59" spans="1:17">
      <c r="B59" s="1" t="s">
        <v>23</v>
      </c>
      <c r="C59">
        <v>0.33591781057497255</v>
      </c>
      <c r="D59" s="1">
        <f>362-18</f>
        <v>344</v>
      </c>
      <c r="E59" s="3">
        <f>1/$D$60*C59*1000</f>
        <v>1.1137613368080013</v>
      </c>
      <c r="F59" t="s">
        <v>583</v>
      </c>
      <c r="G59" s="1" t="s">
        <v>581</v>
      </c>
    </row>
    <row r="60" spans="1:17">
      <c r="B60" s="1" t="s">
        <v>35</v>
      </c>
      <c r="C60">
        <v>1</v>
      </c>
      <c r="D60">
        <f>SUMPRODUCT(C56:C59,D56:D59)</f>
        <v>301.60663642508962</v>
      </c>
      <c r="E60" s="3">
        <f>1/D60*1000</f>
        <v>3.3155769112141908</v>
      </c>
      <c r="H60" s="24"/>
    </row>
    <row r="61" spans="1:17">
      <c r="B61" s="1" t="s">
        <v>36</v>
      </c>
      <c r="E61" s="24">
        <f>0.4*E60</f>
        <v>1.3262307644856763</v>
      </c>
    </row>
    <row r="63" spans="1:17">
      <c r="A63" s="1" t="s">
        <v>576</v>
      </c>
      <c r="B63" t="s">
        <v>136</v>
      </c>
      <c r="C63" t="s">
        <v>133</v>
      </c>
      <c r="E63" s="1" t="s">
        <v>577</v>
      </c>
      <c r="F63" t="s">
        <v>134</v>
      </c>
      <c r="G63" t="s">
        <v>134</v>
      </c>
      <c r="H63" t="s">
        <v>135</v>
      </c>
      <c r="I63" s="1" t="s">
        <v>669</v>
      </c>
      <c r="J63" s="1" t="s">
        <v>670</v>
      </c>
    </row>
    <row r="65" spans="1:13">
      <c r="J65" s="1"/>
      <c r="K65" s="1"/>
      <c r="L65" s="1"/>
      <c r="M65" s="1"/>
    </row>
    <row r="66" spans="1:13">
      <c r="A66" s="1"/>
    </row>
    <row r="67" spans="1:13">
      <c r="A67" s="1"/>
    </row>
    <row r="68" spans="1:13">
      <c r="A68" s="1"/>
    </row>
    <row r="69" spans="1:13" ht="13.5">
      <c r="A69" s="54"/>
    </row>
    <row r="70" spans="1:13" ht="13.5">
      <c r="A70" s="54"/>
    </row>
    <row r="71" spans="1:13" ht="13.5">
      <c r="A71" s="54"/>
    </row>
    <row r="72" spans="1:13" ht="13.5">
      <c r="A72" s="54"/>
    </row>
    <row r="73" spans="1:13" ht="13.5">
      <c r="A73" s="54"/>
    </row>
    <row r="74" spans="1:13" ht="13.5">
      <c r="A74" s="54"/>
    </row>
    <row r="75" spans="1:13" ht="13.5">
      <c r="A75" s="54"/>
    </row>
    <row r="76" spans="1:13" ht="13.5">
      <c r="A76" s="54"/>
    </row>
    <row r="77" spans="1:13" ht="13.5">
      <c r="A77" s="54"/>
    </row>
    <row r="78" spans="1:13" ht="13.5">
      <c r="A78" s="54"/>
    </row>
    <row r="79" spans="1:13" ht="13.5">
      <c r="A79" s="54"/>
    </row>
    <row r="80" spans="1:13" ht="13.5">
      <c r="A80" s="54"/>
    </row>
    <row r="81" spans="1:1" ht="13.5">
      <c r="A81" s="54"/>
    </row>
    <row r="82" spans="1:1" ht="13.5">
      <c r="A82" s="54"/>
    </row>
    <row r="83" spans="1:1" ht="13.5">
      <c r="A83" s="54"/>
    </row>
    <row r="84" spans="1:1" ht="13.5">
      <c r="A84" s="54"/>
    </row>
    <row r="85" spans="1:1" ht="13.5">
      <c r="A85" s="54"/>
    </row>
    <row r="86" spans="1:1" ht="13.5">
      <c r="A86" s="54"/>
    </row>
    <row r="87" spans="1:1" ht="13.5">
      <c r="A87" s="54"/>
    </row>
    <row r="88" spans="1:1" ht="13.5">
      <c r="A88" s="54"/>
    </row>
    <row r="89" spans="1:1" ht="13.5">
      <c r="A89" s="54"/>
    </row>
    <row r="90" spans="1:1" ht="13.5">
      <c r="A90" s="54"/>
    </row>
    <row r="91" spans="1:1" ht="13.5">
      <c r="A91" s="54"/>
    </row>
    <row r="92" spans="1:1" ht="13.5">
      <c r="A92" s="54"/>
    </row>
    <row r="93" spans="1:1" ht="13.5">
      <c r="A93" s="54"/>
    </row>
    <row r="94" spans="1:1" ht="13.5">
      <c r="A94" s="54"/>
    </row>
    <row r="95" spans="1:1" ht="13.5">
      <c r="A95" s="54"/>
    </row>
    <row r="96" spans="1:1" ht="13.5">
      <c r="A96" s="54"/>
    </row>
    <row r="97" spans="1:4" ht="13.5">
      <c r="A97" s="54"/>
    </row>
    <row r="98" spans="1:4" ht="13.5">
      <c r="A98" s="54"/>
    </row>
    <row r="99" spans="1:4" ht="13.5">
      <c r="A99" s="54"/>
    </row>
    <row r="100" spans="1:4" ht="13.5">
      <c r="A100" s="54"/>
    </row>
    <row r="101" spans="1:4" ht="13.5">
      <c r="A101" s="54"/>
    </row>
    <row r="102" spans="1:4" ht="13.5">
      <c r="A102" s="54"/>
    </row>
    <row r="103" spans="1:4" ht="13.5">
      <c r="A103" s="54"/>
    </row>
    <row r="104" spans="1:4" ht="13.5">
      <c r="A104" s="54"/>
    </row>
    <row r="105" spans="1:4" ht="13.5">
      <c r="A105" s="54"/>
    </row>
    <row r="106" spans="1:4" ht="13.5">
      <c r="A106" s="54"/>
    </row>
    <row r="107" spans="1:4" ht="13.5">
      <c r="A107" s="54"/>
    </row>
    <row r="108" spans="1:4" ht="13.5">
      <c r="A108" s="54"/>
    </row>
    <row r="109" spans="1:4" ht="13.5">
      <c r="A109" s="54"/>
    </row>
    <row r="110" spans="1:4" ht="13.5">
      <c r="A110" s="54"/>
    </row>
    <row r="112" spans="1:4">
      <c r="D112" s="1"/>
    </row>
    <row r="113" spans="4:4">
      <c r="D113" s="1"/>
    </row>
    <row r="114" spans="4:4">
      <c r="D114" s="1"/>
    </row>
    <row r="115" spans="4:4">
      <c r="D115" s="1"/>
    </row>
  </sheetData>
  <mergeCells count="45">
    <mergeCell ref="M18:M21"/>
    <mergeCell ref="L18:L21"/>
    <mergeCell ref="K18:K21"/>
    <mergeCell ref="J18:J21"/>
    <mergeCell ref="N8:Q8"/>
    <mergeCell ref="Q10:Q21"/>
    <mergeCell ref="P10:P21"/>
    <mergeCell ref="O10:O21"/>
    <mergeCell ref="N10:N21"/>
    <mergeCell ref="K10:K13"/>
    <mergeCell ref="J10:J13"/>
    <mergeCell ref="M14:M17"/>
    <mergeCell ref="L14:L17"/>
    <mergeCell ref="K14:K17"/>
    <mergeCell ref="J14:J17"/>
    <mergeCell ref="H20:H21"/>
    <mergeCell ref="H18:H19"/>
    <mergeCell ref="I20:I21"/>
    <mergeCell ref="I18:I19"/>
    <mergeCell ref="I16:I17"/>
    <mergeCell ref="H16:H17"/>
    <mergeCell ref="G18:G19"/>
    <mergeCell ref="G16:G17"/>
    <mergeCell ref="G14:G15"/>
    <mergeCell ref="G12:G13"/>
    <mergeCell ref="I14:I15"/>
    <mergeCell ref="H14:H15"/>
    <mergeCell ref="H12:H13"/>
    <mergeCell ref="I12:I13"/>
    <mergeCell ref="A51:Q52"/>
    <mergeCell ref="A1:Q2"/>
    <mergeCell ref="B8:E8"/>
    <mergeCell ref="F8:I8"/>
    <mergeCell ref="I10:I11"/>
    <mergeCell ref="H10:H11"/>
    <mergeCell ref="G10:G11"/>
    <mergeCell ref="F10:F11"/>
    <mergeCell ref="M10:M13"/>
    <mergeCell ref="L10:L13"/>
    <mergeCell ref="F20:F21"/>
    <mergeCell ref="F18:F19"/>
    <mergeCell ref="F16:F17"/>
    <mergeCell ref="F14:F15"/>
    <mergeCell ref="F12:F13"/>
    <mergeCell ref="G20:G2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
  <sheetViews>
    <sheetView workbookViewId="0">
      <selection sqref="A1:P3"/>
    </sheetView>
  </sheetViews>
  <sheetFormatPr defaultRowHeight="12.75"/>
  <cols>
    <col min="1" max="1" width="14" customWidth="1"/>
  </cols>
  <sheetData>
    <row r="1" spans="1:16" ht="12.75" customHeight="1">
      <c r="A1" s="88" t="s">
        <v>651</v>
      </c>
      <c r="B1" s="88"/>
      <c r="C1" s="88"/>
      <c r="D1" s="88"/>
      <c r="E1" s="88"/>
      <c r="F1" s="88"/>
      <c r="G1" s="88"/>
      <c r="H1" s="88"/>
      <c r="I1" s="88"/>
      <c r="J1" s="88"/>
      <c r="K1" s="88"/>
      <c r="L1" s="88"/>
      <c r="M1" s="88"/>
      <c r="N1" s="88"/>
      <c r="O1" s="88"/>
      <c r="P1" s="88"/>
    </row>
    <row r="2" spans="1:16">
      <c r="A2" s="88"/>
      <c r="B2" s="88"/>
      <c r="C2" s="88"/>
      <c r="D2" s="88"/>
      <c r="E2" s="88"/>
      <c r="F2" s="88"/>
      <c r="G2" s="88"/>
      <c r="H2" s="88"/>
      <c r="I2" s="88"/>
      <c r="J2" s="88"/>
      <c r="K2" s="88"/>
      <c r="L2" s="88"/>
      <c r="M2" s="88"/>
      <c r="N2" s="88"/>
      <c r="O2" s="88"/>
      <c r="P2" s="88"/>
    </row>
    <row r="3" spans="1:16">
      <c r="A3" s="88"/>
      <c r="B3" s="88"/>
      <c r="C3" s="88"/>
      <c r="D3" s="88"/>
      <c r="E3" s="88"/>
      <c r="F3" s="88"/>
      <c r="G3" s="88"/>
      <c r="H3" s="88"/>
      <c r="I3" s="88"/>
      <c r="J3" s="88"/>
      <c r="K3" s="88"/>
      <c r="L3" s="88"/>
      <c r="M3" s="88"/>
      <c r="N3" s="88"/>
      <c r="O3" s="88"/>
      <c r="P3" s="88"/>
    </row>
    <row r="6" spans="1:16">
      <c r="A6" s="1" t="s">
        <v>30</v>
      </c>
      <c r="B6" s="1" t="s">
        <v>427</v>
      </c>
      <c r="C6" s="1" t="s">
        <v>497</v>
      </c>
      <c r="D6" s="1" t="s">
        <v>47</v>
      </c>
      <c r="E6" s="1" t="s">
        <v>31</v>
      </c>
    </row>
    <row r="7" spans="1:16">
      <c r="A7" s="1" t="s">
        <v>371</v>
      </c>
      <c r="B7" s="1" t="s">
        <v>322</v>
      </c>
      <c r="C7">
        <v>0.1052</v>
      </c>
      <c r="D7">
        <v>89</v>
      </c>
      <c r="E7" s="24">
        <f>C7/D7*1000</f>
        <v>1.1820224719101124</v>
      </c>
    </row>
    <row r="8" spans="1:16">
      <c r="A8" s="1" t="s">
        <v>498</v>
      </c>
      <c r="B8" s="26" t="s">
        <v>499</v>
      </c>
      <c r="C8">
        <v>3.8900000000000004E-2</v>
      </c>
      <c r="D8" s="26">
        <v>175</v>
      </c>
      <c r="E8" s="24">
        <f t="shared" ref="E8:E26" si="0">C8/D8*1000</f>
        <v>0.22228571428571431</v>
      </c>
    </row>
    <row r="9" spans="1:16">
      <c r="A9" s="1" t="s">
        <v>500</v>
      </c>
      <c r="B9" s="26" t="s">
        <v>501</v>
      </c>
      <c r="C9">
        <v>5.0799999999999998E-2</v>
      </c>
      <c r="D9" s="26">
        <v>132</v>
      </c>
      <c r="E9" s="24">
        <f t="shared" si="0"/>
        <v>0.38484848484848483</v>
      </c>
    </row>
    <row r="10" spans="1:16">
      <c r="A10" s="51" t="s">
        <v>502</v>
      </c>
      <c r="B10" s="50" t="s">
        <v>503</v>
      </c>
      <c r="C10">
        <v>5.1500000000000004E-2</v>
      </c>
      <c r="D10" s="26">
        <v>132</v>
      </c>
      <c r="E10" s="24">
        <f t="shared" si="0"/>
        <v>0.39015151515151519</v>
      </c>
    </row>
    <row r="11" spans="1:16">
      <c r="A11" s="51" t="s">
        <v>367</v>
      </c>
      <c r="B11" s="26" t="s">
        <v>376</v>
      </c>
      <c r="C11">
        <v>2.0199999999999999E-2</v>
      </c>
      <c r="D11" s="26">
        <v>121</v>
      </c>
      <c r="E11" s="24">
        <f t="shared" si="0"/>
        <v>0.16694214876033059</v>
      </c>
    </row>
    <row r="12" spans="1:16">
      <c r="A12" s="51" t="s">
        <v>506</v>
      </c>
      <c r="B12" s="26" t="s">
        <v>284</v>
      </c>
      <c r="C12">
        <v>7.8E-2</v>
      </c>
      <c r="D12" s="26">
        <v>146</v>
      </c>
      <c r="E12" s="24">
        <f t="shared" si="0"/>
        <v>0.53424657534246578</v>
      </c>
    </row>
    <row r="13" spans="1:16">
      <c r="A13" s="47" t="s">
        <v>504</v>
      </c>
      <c r="B13" s="26" t="s">
        <v>505</v>
      </c>
      <c r="C13">
        <v>4.41E-2</v>
      </c>
      <c r="D13" s="26">
        <v>146</v>
      </c>
      <c r="E13" s="24">
        <f t="shared" si="0"/>
        <v>0.30205479452054795</v>
      </c>
    </row>
    <row r="14" spans="1:16">
      <c r="A14" s="51" t="s">
        <v>507</v>
      </c>
      <c r="B14" s="26" t="s">
        <v>327</v>
      </c>
      <c r="C14">
        <v>7.6600000000000001E-2</v>
      </c>
      <c r="D14" s="26">
        <v>75</v>
      </c>
      <c r="E14" s="24">
        <f t="shared" si="0"/>
        <v>1.0213333333333332</v>
      </c>
    </row>
    <row r="15" spans="1:16">
      <c r="A15" s="51" t="s">
        <v>508</v>
      </c>
      <c r="B15" s="26" t="s">
        <v>509</v>
      </c>
      <c r="C15">
        <v>2.6600000000000002E-2</v>
      </c>
      <c r="D15" s="26">
        <v>155</v>
      </c>
      <c r="E15" s="24">
        <f t="shared" si="0"/>
        <v>0.17161290322580647</v>
      </c>
    </row>
    <row r="16" spans="1:16">
      <c r="A16" s="51" t="s">
        <v>510</v>
      </c>
      <c r="B16" t="s">
        <v>511</v>
      </c>
      <c r="C16">
        <v>6.8199999999999997E-2</v>
      </c>
      <c r="D16" s="26">
        <v>131</v>
      </c>
      <c r="E16" s="24">
        <f t="shared" si="0"/>
        <v>0.5206106870229007</v>
      </c>
    </row>
    <row r="17" spans="1:10">
      <c r="A17" s="51" t="s">
        <v>512</v>
      </c>
      <c r="B17" s="26" t="s">
        <v>513</v>
      </c>
      <c r="C17">
        <v>3.8399999999999997E-2</v>
      </c>
      <c r="D17" s="26">
        <v>131</v>
      </c>
      <c r="E17" s="24">
        <f t="shared" si="0"/>
        <v>0.29312977099236642</v>
      </c>
    </row>
    <row r="18" spans="1:10">
      <c r="A18" s="51" t="s">
        <v>514</v>
      </c>
      <c r="B18" s="26" t="s">
        <v>515</v>
      </c>
      <c r="C18">
        <v>2.2200000000000001E-2</v>
      </c>
      <c r="D18" s="26">
        <v>147</v>
      </c>
      <c r="E18" s="24">
        <f t="shared" si="0"/>
        <v>0.15102040816326531</v>
      </c>
    </row>
    <row r="19" spans="1:10">
      <c r="A19" s="51" t="s">
        <v>517</v>
      </c>
      <c r="B19" t="s">
        <v>516</v>
      </c>
      <c r="C19">
        <v>3.8399999999999997E-2</v>
      </c>
      <c r="D19" s="26">
        <v>149</v>
      </c>
      <c r="E19" s="24">
        <f t="shared" si="0"/>
        <v>0.2577181208053691</v>
      </c>
    </row>
    <row r="20" spans="1:10">
      <c r="A20" s="51" t="s">
        <v>519</v>
      </c>
      <c r="B20" s="26" t="s">
        <v>518</v>
      </c>
      <c r="C20">
        <v>4.8300000000000003E-2</v>
      </c>
      <c r="D20" s="27">
        <v>165</v>
      </c>
      <c r="E20" s="24">
        <f t="shared" si="0"/>
        <v>0.29272727272727272</v>
      </c>
    </row>
    <row r="21" spans="1:10">
      <c r="A21" s="26" t="s">
        <v>520</v>
      </c>
      <c r="B21" s="27" t="s">
        <v>521</v>
      </c>
      <c r="C21">
        <v>8.8000000000000009E-2</v>
      </c>
      <c r="D21" s="26">
        <v>114</v>
      </c>
      <c r="E21" s="24">
        <f t="shared" si="0"/>
        <v>0.77192982456140358</v>
      </c>
    </row>
    <row r="22" spans="1:10">
      <c r="A22" s="27" t="s">
        <v>522</v>
      </c>
      <c r="B22" s="26" t="s">
        <v>244</v>
      </c>
      <c r="C22">
        <v>4.5100000000000001E-2</v>
      </c>
      <c r="D22" s="26">
        <v>105</v>
      </c>
      <c r="E22" s="24">
        <f t="shared" si="0"/>
        <v>0.42952380952380953</v>
      </c>
    </row>
    <row r="23" spans="1:10">
      <c r="A23" s="27" t="s">
        <v>523</v>
      </c>
      <c r="B23" s="26" t="s">
        <v>524</v>
      </c>
      <c r="C23">
        <v>6.5500000000000003E-2</v>
      </c>
      <c r="D23" s="26">
        <v>119</v>
      </c>
      <c r="E23" s="24">
        <f t="shared" si="0"/>
        <v>0.55042016806722693</v>
      </c>
    </row>
    <row r="24" spans="1:10">
      <c r="A24" s="27" t="s">
        <v>525</v>
      </c>
      <c r="B24" s="26" t="s">
        <v>526</v>
      </c>
      <c r="C24">
        <v>1.4800000000000001E-2</v>
      </c>
      <c r="D24" s="26">
        <v>204</v>
      </c>
      <c r="E24" s="24">
        <f t="shared" si="0"/>
        <v>7.2549019607843143E-2</v>
      </c>
    </row>
    <row r="25" spans="1:10">
      <c r="A25" t="s">
        <v>527</v>
      </c>
      <c r="B25" t="s">
        <v>528</v>
      </c>
      <c r="C25">
        <v>2.5899999999999999E-2</v>
      </c>
      <c r="D25">
        <v>181</v>
      </c>
      <c r="E25" s="24">
        <f t="shared" si="0"/>
        <v>0.14309392265193371</v>
      </c>
    </row>
    <row r="26" spans="1:10">
      <c r="A26" t="s">
        <v>529</v>
      </c>
      <c r="B26" t="s">
        <v>530</v>
      </c>
      <c r="C26">
        <v>5.33E-2</v>
      </c>
      <c r="D26">
        <v>117</v>
      </c>
      <c r="E26" s="24">
        <f t="shared" si="0"/>
        <v>0.45555555555555555</v>
      </c>
    </row>
    <row r="27" spans="1:10">
      <c r="A27" t="s">
        <v>490</v>
      </c>
      <c r="C27" s="49"/>
      <c r="E27" s="24">
        <f>SUM(E7:E26)</f>
        <v>8.3137765010572551</v>
      </c>
    </row>
    <row r="28" spans="1:10">
      <c r="A28" t="s">
        <v>363</v>
      </c>
      <c r="B28" t="s">
        <v>347</v>
      </c>
      <c r="C28" s="49"/>
      <c r="E28" s="40">
        <f>4.306*E27</f>
        <v>35.799121613552543</v>
      </c>
    </row>
    <row r="29" spans="1:10">
      <c r="C29" s="49"/>
    </row>
    <row r="30" spans="1:10">
      <c r="A30" t="s">
        <v>124</v>
      </c>
      <c r="C30" s="49"/>
    </row>
    <row r="31" spans="1:10">
      <c r="C31" s="49"/>
    </row>
    <row r="32" spans="1:10">
      <c r="A32" s="1" t="s">
        <v>531</v>
      </c>
      <c r="B32" t="s">
        <v>136</v>
      </c>
      <c r="C32" t="s">
        <v>133</v>
      </c>
      <c r="E32" s="1" t="s">
        <v>532</v>
      </c>
      <c r="F32" t="s">
        <v>134</v>
      </c>
      <c r="G32" t="s">
        <v>134</v>
      </c>
      <c r="H32" t="s">
        <v>135</v>
      </c>
      <c r="I32" s="1" t="s">
        <v>533</v>
      </c>
      <c r="J32" s="1" t="s">
        <v>534</v>
      </c>
    </row>
    <row r="33" spans="3:3">
      <c r="C33" s="49"/>
    </row>
    <row r="34" spans="3:3">
      <c r="C34" s="49"/>
    </row>
  </sheetData>
  <mergeCells count="1">
    <mergeCell ref="A1:P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81"/>
  <sheetViews>
    <sheetView workbookViewId="0">
      <selection activeCell="A30" sqref="A30:F38"/>
    </sheetView>
  </sheetViews>
  <sheetFormatPr defaultRowHeight="12.75"/>
  <cols>
    <col min="1" max="1" width="27.140625" customWidth="1"/>
    <col min="2" max="2" width="11.85546875" customWidth="1"/>
    <col min="3" max="3" width="11.5703125" bestFit="1" customWidth="1"/>
    <col min="4" max="4" width="11.28515625" customWidth="1"/>
    <col min="5" max="6" width="11.5703125" bestFit="1" customWidth="1"/>
    <col min="8" max="8" width="11.5703125" bestFit="1" customWidth="1"/>
  </cols>
  <sheetData>
    <row r="1" spans="1:26" ht="12.75" customHeight="1">
      <c r="A1" s="88" t="s">
        <v>654</v>
      </c>
      <c r="B1" s="88"/>
      <c r="C1" s="88"/>
      <c r="D1" s="88"/>
      <c r="E1" s="88"/>
      <c r="F1" s="88"/>
      <c r="G1" s="88"/>
      <c r="H1" s="88"/>
      <c r="I1" s="88"/>
      <c r="J1" s="88"/>
      <c r="K1" s="88"/>
      <c r="L1" s="88"/>
      <c r="M1" s="88"/>
      <c r="N1" s="88"/>
      <c r="O1" s="88"/>
      <c r="P1" s="88"/>
      <c r="Q1" s="88"/>
      <c r="R1" s="88"/>
    </row>
    <row r="2" spans="1:26">
      <c r="A2" s="88"/>
      <c r="B2" s="88"/>
      <c r="C2" s="88"/>
      <c r="D2" s="88"/>
      <c r="E2" s="88"/>
      <c r="F2" s="88"/>
      <c r="G2" s="88"/>
      <c r="H2" s="88"/>
      <c r="I2" s="88"/>
      <c r="J2" s="88"/>
      <c r="K2" s="88"/>
      <c r="L2" s="88"/>
      <c r="M2" s="88"/>
      <c r="N2" s="88"/>
      <c r="O2" s="88"/>
      <c r="P2" s="88"/>
      <c r="Q2" s="88"/>
      <c r="R2" s="88"/>
    </row>
    <row r="3" spans="1:26">
      <c r="A3" s="88"/>
      <c r="B3" s="88"/>
      <c r="C3" s="88"/>
      <c r="D3" s="88"/>
      <c r="E3" s="88"/>
      <c r="F3" s="88"/>
      <c r="G3" s="88"/>
      <c r="H3" s="88"/>
      <c r="I3" s="88"/>
      <c r="J3" s="88"/>
      <c r="K3" s="88"/>
      <c r="L3" s="88"/>
      <c r="M3" s="88"/>
      <c r="N3" s="88"/>
      <c r="O3" s="88"/>
      <c r="P3" s="88"/>
      <c r="Q3" s="88"/>
      <c r="R3" s="88"/>
    </row>
    <row r="4" spans="1:26">
      <c r="A4" s="88"/>
      <c r="B4" s="88"/>
      <c r="C4" s="88"/>
      <c r="D4" s="88"/>
      <c r="E4" s="88"/>
      <c r="F4" s="88"/>
      <c r="G4" s="88"/>
      <c r="H4" s="88"/>
      <c r="I4" s="88"/>
      <c r="J4" s="88"/>
      <c r="K4" s="88"/>
      <c r="L4" s="88"/>
      <c r="M4" s="88"/>
      <c r="N4" s="88"/>
      <c r="O4" s="88"/>
      <c r="P4" s="88"/>
      <c r="Q4" s="88"/>
      <c r="R4" s="88"/>
    </row>
    <row r="5" spans="1:26">
      <c r="A5" s="1"/>
    </row>
    <row r="6" spans="1:26">
      <c r="A6" s="1"/>
    </row>
    <row r="7" spans="1:26">
      <c r="A7" s="1" t="s">
        <v>425</v>
      </c>
      <c r="D7">
        <v>3.2000000000000001E-2</v>
      </c>
      <c r="E7" s="1" t="s">
        <v>426</v>
      </c>
      <c r="F7" s="1"/>
      <c r="I7" s="1" t="s">
        <v>473</v>
      </c>
      <c r="L7">
        <f>1-SUMPRODUCT(E30:E38,F30:F38)/1000</f>
        <v>0.70856918749999998</v>
      </c>
    </row>
    <row r="8" spans="1:26" ht="25.5">
      <c r="A8" s="34" t="s">
        <v>26</v>
      </c>
      <c r="B8" s="34" t="s">
        <v>427</v>
      </c>
      <c r="C8" s="36" t="s">
        <v>538</v>
      </c>
      <c r="D8" s="36" t="s">
        <v>536</v>
      </c>
      <c r="E8" s="34" t="s">
        <v>47</v>
      </c>
      <c r="F8" s="36" t="s">
        <v>537</v>
      </c>
      <c r="G8" s="32"/>
      <c r="H8" s="32"/>
      <c r="I8" s="32" t="s">
        <v>630</v>
      </c>
      <c r="J8" s="32"/>
      <c r="K8" s="33"/>
      <c r="L8" s="33"/>
      <c r="M8" s="33"/>
      <c r="N8" s="33"/>
    </row>
    <row r="9" spans="1:26">
      <c r="A9" s="34" t="s">
        <v>429</v>
      </c>
      <c r="B9" s="34" t="s">
        <v>428</v>
      </c>
      <c r="C9" s="36"/>
      <c r="D9" s="32">
        <f>($L$7)/21</f>
        <v>3.3741389880952377E-2</v>
      </c>
      <c r="E9" s="8">
        <v>423</v>
      </c>
      <c r="F9" s="38">
        <f>D9/E9*1000</f>
        <v>7.9766879151187645E-2</v>
      </c>
      <c r="G9" s="32"/>
      <c r="H9" s="32"/>
      <c r="I9" s="73"/>
      <c r="J9" s="32"/>
      <c r="K9" s="33"/>
      <c r="L9" s="70"/>
      <c r="M9" s="69"/>
      <c r="N9" s="19"/>
      <c r="O9" s="19"/>
      <c r="P9" s="13"/>
      <c r="Q9" s="13"/>
      <c r="R9" s="13"/>
      <c r="S9" s="13"/>
      <c r="T9" s="13"/>
      <c r="U9" s="13"/>
      <c r="V9" s="13"/>
      <c r="W9" s="13"/>
      <c r="X9" s="13"/>
      <c r="Y9" s="13"/>
      <c r="Z9" s="13"/>
    </row>
    <row r="10" spans="1:26">
      <c r="A10" s="34" t="s">
        <v>374</v>
      </c>
      <c r="B10" s="34" t="s">
        <v>375</v>
      </c>
      <c r="C10" s="36"/>
      <c r="D10" s="36">
        <f t="shared" ref="D10:D29" si="0">($L$7)/21</f>
        <v>3.3741389880952377E-2</v>
      </c>
      <c r="E10" s="8">
        <v>783</v>
      </c>
      <c r="F10" s="38">
        <f t="shared" ref="F10:F29" si="1">D10/E10*1000</f>
        <v>4.3092451955239308E-2</v>
      </c>
      <c r="G10" s="32"/>
      <c r="H10" s="32"/>
      <c r="I10" s="73" t="s">
        <v>631</v>
      </c>
      <c r="J10" s="13"/>
      <c r="K10" s="13"/>
      <c r="L10" s="13"/>
      <c r="M10" s="13"/>
      <c r="N10" s="13"/>
    </row>
    <row r="11" spans="1:26">
      <c r="A11" s="34" t="s">
        <v>431</v>
      </c>
      <c r="B11" t="s">
        <v>430</v>
      </c>
      <c r="D11" s="36">
        <f t="shared" si="0"/>
        <v>3.3741389880952377E-2</v>
      </c>
      <c r="E11" s="11">
        <v>376</v>
      </c>
      <c r="F11" s="38">
        <f t="shared" si="1"/>
        <v>8.9737739045086112E-2</v>
      </c>
      <c r="G11" s="32"/>
      <c r="H11" s="32"/>
      <c r="I11" s="18" t="s">
        <v>632</v>
      </c>
      <c r="J11" s="13"/>
      <c r="K11" s="13"/>
      <c r="L11" s="13"/>
      <c r="M11" s="13"/>
      <c r="N11" s="13"/>
    </row>
    <row r="12" spans="1:26">
      <c r="A12" s="34" t="s">
        <v>432</v>
      </c>
      <c r="B12" t="s">
        <v>283</v>
      </c>
      <c r="D12" s="36">
        <f t="shared" si="0"/>
        <v>3.3741389880952377E-2</v>
      </c>
      <c r="E12" s="11">
        <v>662</v>
      </c>
      <c r="F12" s="38">
        <f t="shared" si="1"/>
        <v>5.0968866889656163E-2</v>
      </c>
      <c r="G12" s="32"/>
      <c r="H12" s="32"/>
      <c r="I12" s="18" t="s">
        <v>632</v>
      </c>
      <c r="J12" s="13"/>
      <c r="K12" s="13"/>
      <c r="L12" s="13"/>
      <c r="M12" s="13"/>
      <c r="N12" s="13"/>
    </row>
    <row r="13" spans="1:26">
      <c r="A13" s="34" t="s">
        <v>433</v>
      </c>
      <c r="B13" s="1" t="s">
        <v>288</v>
      </c>
      <c r="C13" s="1"/>
      <c r="D13" s="36">
        <f t="shared" si="0"/>
        <v>3.3741389880952377E-2</v>
      </c>
      <c r="E13" s="8">
        <v>663</v>
      </c>
      <c r="F13" s="38">
        <f t="shared" si="1"/>
        <v>5.0891990770667236E-2</v>
      </c>
      <c r="G13" s="32"/>
      <c r="H13" s="32"/>
      <c r="I13" s="18" t="s">
        <v>633</v>
      </c>
      <c r="J13" s="13"/>
      <c r="K13" s="13"/>
      <c r="L13" s="13"/>
      <c r="M13" s="13"/>
      <c r="N13" s="13"/>
    </row>
    <row r="14" spans="1:26">
      <c r="A14" s="34" t="s">
        <v>412</v>
      </c>
      <c r="B14" s="1" t="s">
        <v>418</v>
      </c>
      <c r="C14" s="1"/>
      <c r="D14" s="36">
        <f t="shared" si="0"/>
        <v>3.3741389880952377E-2</v>
      </c>
      <c r="E14" s="8">
        <v>741</v>
      </c>
      <c r="F14" s="38">
        <f t="shared" si="1"/>
        <v>4.5534939110597E-2</v>
      </c>
      <c r="G14" s="32"/>
      <c r="H14" s="32"/>
      <c r="I14" s="18" t="s">
        <v>633</v>
      </c>
      <c r="J14" s="13"/>
      <c r="K14" s="13"/>
      <c r="L14" s="13"/>
      <c r="M14" s="13"/>
      <c r="N14" s="13"/>
    </row>
    <row r="15" spans="1:26">
      <c r="A15" s="34" t="s">
        <v>411</v>
      </c>
      <c r="B15" s="1" t="s">
        <v>417</v>
      </c>
      <c r="C15" s="1"/>
      <c r="D15" s="36">
        <f t="shared" si="0"/>
        <v>3.3741389880952377E-2</v>
      </c>
      <c r="E15" s="8">
        <v>742</v>
      </c>
      <c r="F15" s="38">
        <f t="shared" si="1"/>
        <v>4.5473571268129891E-2</v>
      </c>
      <c r="G15" s="32"/>
      <c r="H15" s="32"/>
      <c r="I15" s="18" t="s">
        <v>633</v>
      </c>
      <c r="J15" s="13"/>
      <c r="K15" s="13"/>
      <c r="L15" s="13"/>
      <c r="M15" s="13"/>
      <c r="N15" s="13"/>
    </row>
    <row r="16" spans="1:26">
      <c r="A16" s="34" t="s">
        <v>434</v>
      </c>
      <c r="B16" s="34" t="s">
        <v>289</v>
      </c>
      <c r="C16" s="36"/>
      <c r="D16" s="36">
        <f t="shared" si="0"/>
        <v>3.3741389880952377E-2</v>
      </c>
      <c r="E16" s="8">
        <v>764</v>
      </c>
      <c r="F16" s="38">
        <f t="shared" si="1"/>
        <v>4.4164122880827716E-2</v>
      </c>
      <c r="G16" s="32"/>
      <c r="H16" s="32"/>
      <c r="I16" s="1" t="s">
        <v>634</v>
      </c>
      <c r="J16" s="13"/>
      <c r="K16" s="13"/>
      <c r="L16" s="13"/>
      <c r="M16" s="13"/>
      <c r="N16" s="13"/>
    </row>
    <row r="17" spans="1:26" ht="15" customHeight="1">
      <c r="A17" s="34" t="s">
        <v>436</v>
      </c>
      <c r="B17" s="34" t="s">
        <v>435</v>
      </c>
      <c r="C17" s="36"/>
      <c r="D17" s="36">
        <f t="shared" si="0"/>
        <v>3.3741389880952377E-2</v>
      </c>
      <c r="E17" s="8">
        <v>246</v>
      </c>
      <c r="F17" s="38">
        <f t="shared" si="1"/>
        <v>0.13716012146728609</v>
      </c>
      <c r="G17" s="32"/>
      <c r="H17" s="32"/>
      <c r="I17" s="18" t="s">
        <v>632</v>
      </c>
      <c r="J17" s="13"/>
      <c r="K17" s="13"/>
      <c r="L17" s="13"/>
      <c r="M17" s="13"/>
      <c r="N17" s="13"/>
    </row>
    <row r="18" spans="1:26">
      <c r="A18" s="34" t="s">
        <v>438</v>
      </c>
      <c r="B18" t="s">
        <v>437</v>
      </c>
      <c r="D18" s="36">
        <f t="shared" si="0"/>
        <v>3.3741389880952377E-2</v>
      </c>
      <c r="E18" s="8">
        <v>243</v>
      </c>
      <c r="F18" s="38">
        <f t="shared" si="1"/>
        <v>0.13885345630021556</v>
      </c>
      <c r="G18" s="34" t="s">
        <v>439</v>
      </c>
      <c r="H18" s="32"/>
      <c r="I18" s="1" t="s">
        <v>635</v>
      </c>
      <c r="J18" s="13"/>
      <c r="K18" s="13"/>
      <c r="L18" s="13"/>
      <c r="M18" s="13"/>
      <c r="N18" s="13"/>
    </row>
    <row r="19" spans="1:26" ht="15" customHeight="1">
      <c r="A19" s="34" t="s">
        <v>441</v>
      </c>
      <c r="B19" t="s">
        <v>440</v>
      </c>
      <c r="D19" s="36">
        <f t="shared" si="0"/>
        <v>3.3741389880952377E-2</v>
      </c>
      <c r="E19" s="11">
        <v>471</v>
      </c>
      <c r="F19" s="38">
        <f t="shared" si="1"/>
        <v>7.1637770447881902E-2</v>
      </c>
      <c r="G19" s="32"/>
      <c r="H19" s="32"/>
      <c r="I19" s="34"/>
      <c r="J19" s="13"/>
      <c r="K19" s="13"/>
      <c r="L19" s="13"/>
      <c r="M19" s="13"/>
      <c r="N19" s="13"/>
    </row>
    <row r="20" spans="1:26">
      <c r="A20" s="1" t="s">
        <v>443</v>
      </c>
      <c r="B20" t="s">
        <v>442</v>
      </c>
      <c r="D20" s="36">
        <f t="shared" si="0"/>
        <v>3.3741389880952377E-2</v>
      </c>
      <c r="E20" s="8">
        <v>457</v>
      </c>
      <c r="F20" s="38">
        <f t="shared" si="1"/>
        <v>7.383236297801396E-2</v>
      </c>
      <c r="G20" s="32"/>
      <c r="H20" s="32"/>
      <c r="I20" s="34"/>
      <c r="J20" s="32"/>
      <c r="K20" s="33"/>
      <c r="L20" s="70"/>
      <c r="M20" s="69"/>
      <c r="N20" s="19"/>
      <c r="O20" s="19"/>
      <c r="P20" s="13"/>
      <c r="Q20" s="13"/>
      <c r="R20" s="13"/>
      <c r="S20" s="13"/>
      <c r="T20" s="13"/>
      <c r="U20" s="13"/>
      <c r="V20" s="13"/>
      <c r="W20" s="13"/>
      <c r="X20" s="13"/>
      <c r="Y20" s="13"/>
      <c r="Z20" s="13"/>
    </row>
    <row r="21" spans="1:26">
      <c r="A21" s="1" t="s">
        <v>445</v>
      </c>
      <c r="B21" t="s">
        <v>444</v>
      </c>
      <c r="D21" s="36">
        <f t="shared" si="0"/>
        <v>3.3741389880952377E-2</v>
      </c>
      <c r="E21" s="8">
        <v>455</v>
      </c>
      <c r="F21" s="38">
        <f t="shared" si="1"/>
        <v>7.4156900837257983E-2</v>
      </c>
      <c r="G21" s="32"/>
      <c r="H21" s="32"/>
      <c r="I21" s="34"/>
      <c r="L21" s="70"/>
      <c r="M21" s="69"/>
      <c r="N21" s="19"/>
      <c r="O21" s="19"/>
      <c r="P21" s="13"/>
      <c r="Q21" s="13"/>
      <c r="R21" s="13"/>
      <c r="S21" s="13"/>
      <c r="T21" s="13"/>
      <c r="U21" s="13"/>
      <c r="V21" s="13"/>
      <c r="W21" s="13"/>
      <c r="X21" s="13"/>
      <c r="Y21" s="13"/>
      <c r="Z21" s="13"/>
    </row>
    <row r="22" spans="1:26">
      <c r="A22" s="34" t="s">
        <v>447</v>
      </c>
      <c r="B22" t="s">
        <v>446</v>
      </c>
      <c r="D22" s="36">
        <f t="shared" si="0"/>
        <v>3.3741389880952377E-2</v>
      </c>
      <c r="E22" s="8">
        <v>443</v>
      </c>
      <c r="F22" s="38">
        <f t="shared" si="1"/>
        <v>7.6165665645490696E-2</v>
      </c>
      <c r="G22" s="32"/>
      <c r="H22" s="32"/>
      <c r="I22" s="34"/>
      <c r="L22" s="70"/>
      <c r="M22" s="69"/>
      <c r="N22" s="19"/>
      <c r="O22" s="19"/>
      <c r="P22" s="13"/>
      <c r="Q22" s="13"/>
      <c r="R22" s="13"/>
      <c r="S22" s="13"/>
      <c r="T22" s="13"/>
      <c r="U22" s="13"/>
      <c r="V22" s="13"/>
      <c r="W22" s="13"/>
      <c r="X22" s="13"/>
      <c r="Y22" s="13"/>
      <c r="Z22" s="13"/>
    </row>
    <row r="23" spans="1:26" s="13" customFormat="1">
      <c r="A23" s="12" t="s">
        <v>448</v>
      </c>
      <c r="B23" s="13" t="s">
        <v>385</v>
      </c>
      <c r="D23" s="59">
        <f t="shared" si="0"/>
        <v>3.3741389880952377E-2</v>
      </c>
      <c r="E23" s="66">
        <v>1579</v>
      </c>
      <c r="F23" s="67">
        <f t="shared" si="1"/>
        <v>2.1368834630115501E-2</v>
      </c>
      <c r="G23" s="22" t="s">
        <v>449</v>
      </c>
      <c r="H23" s="59"/>
      <c r="I23" s="59"/>
      <c r="L23" s="70"/>
      <c r="M23" s="69"/>
      <c r="N23" s="19"/>
      <c r="O23" s="19"/>
      <c r="P23" s="19"/>
      <c r="Q23" s="19"/>
      <c r="R23" s="19"/>
      <c r="S23" s="19"/>
      <c r="T23" s="19"/>
      <c r="U23" s="19"/>
    </row>
    <row r="24" spans="1:26" s="13" customFormat="1">
      <c r="A24" s="12" t="s">
        <v>450</v>
      </c>
      <c r="B24" s="12" t="s">
        <v>413</v>
      </c>
      <c r="C24" s="12"/>
      <c r="D24" s="59">
        <f t="shared" si="0"/>
        <v>3.3741389880952377E-2</v>
      </c>
      <c r="E24" s="68">
        <v>788</v>
      </c>
      <c r="F24" s="67">
        <f t="shared" si="1"/>
        <v>4.2819022691563929E-2</v>
      </c>
      <c r="G24" s="59"/>
      <c r="I24" s="59"/>
      <c r="L24" s="70"/>
      <c r="M24" s="69"/>
      <c r="N24" s="19"/>
      <c r="O24" s="19"/>
      <c r="P24" s="19"/>
      <c r="Q24" s="19"/>
      <c r="R24" s="19"/>
      <c r="S24" s="19"/>
      <c r="T24" s="19"/>
      <c r="U24" s="19"/>
    </row>
    <row r="25" spans="1:26">
      <c r="A25" s="1" t="s">
        <v>409</v>
      </c>
      <c r="B25" t="s">
        <v>416</v>
      </c>
      <c r="D25" s="36">
        <f t="shared" si="0"/>
        <v>3.3741389880952377E-2</v>
      </c>
      <c r="E25" s="11">
        <v>399</v>
      </c>
      <c r="F25" s="38">
        <f t="shared" si="1"/>
        <v>8.4564886919680143E-2</v>
      </c>
      <c r="G25" s="34"/>
      <c r="I25" s="34"/>
      <c r="L25" s="70"/>
      <c r="M25" s="69"/>
      <c r="N25" s="19"/>
      <c r="O25" s="19"/>
      <c r="P25" s="19"/>
      <c r="Q25" s="19"/>
      <c r="R25" s="19"/>
      <c r="S25" s="19"/>
      <c r="T25" s="19"/>
      <c r="U25" s="19"/>
      <c r="V25" s="13"/>
      <c r="W25" s="13"/>
      <c r="X25" s="13"/>
      <c r="Y25" s="13"/>
      <c r="Z25" s="13"/>
    </row>
    <row r="26" spans="1:26">
      <c r="A26" s="1" t="s">
        <v>453</v>
      </c>
      <c r="B26" t="s">
        <v>452</v>
      </c>
      <c r="D26" s="36">
        <f t="shared" si="0"/>
        <v>3.3741389880952377E-2</v>
      </c>
      <c r="E26" s="11">
        <v>908</v>
      </c>
      <c r="F26" s="38">
        <f t="shared" si="1"/>
        <v>3.7160121014264733E-2</v>
      </c>
      <c r="G26" s="34"/>
      <c r="I26" s="36"/>
      <c r="J26" s="1"/>
      <c r="L26" s="70"/>
      <c r="M26" s="69"/>
      <c r="N26" s="19"/>
      <c r="O26" s="19"/>
      <c r="P26" s="19"/>
      <c r="Q26" s="19"/>
      <c r="R26" s="19"/>
      <c r="S26" s="19"/>
      <c r="T26" s="19"/>
      <c r="U26" s="19"/>
      <c r="V26" s="13"/>
      <c r="W26" s="13"/>
      <c r="X26" s="13"/>
      <c r="Y26" s="13"/>
      <c r="Z26" s="13"/>
    </row>
    <row r="27" spans="1:26">
      <c r="A27" s="1" t="s">
        <v>454</v>
      </c>
      <c r="B27" t="s">
        <v>455</v>
      </c>
      <c r="D27" s="36">
        <f t="shared" si="0"/>
        <v>3.3741389880952377E-2</v>
      </c>
      <c r="E27" s="11">
        <v>614</v>
      </c>
      <c r="F27" s="38">
        <f t="shared" si="1"/>
        <v>5.4953403714906153E-2</v>
      </c>
      <c r="G27" s="34"/>
      <c r="I27" s="36"/>
      <c r="J27" s="1"/>
      <c r="L27" s="71"/>
      <c r="M27" s="69"/>
      <c r="N27" s="19"/>
      <c r="O27" s="19"/>
      <c r="P27" s="19"/>
      <c r="Q27" s="19"/>
      <c r="R27" s="19"/>
      <c r="S27" s="19"/>
      <c r="T27" s="19"/>
      <c r="U27" s="19"/>
      <c r="V27" s="13"/>
      <c r="W27" s="13"/>
      <c r="X27" s="13"/>
      <c r="Y27" s="13"/>
      <c r="Z27" s="13"/>
    </row>
    <row r="28" spans="1:26">
      <c r="A28" s="1" t="s">
        <v>372</v>
      </c>
      <c r="B28" t="s">
        <v>373</v>
      </c>
      <c r="D28" s="36">
        <f t="shared" si="0"/>
        <v>3.3741389880952377E-2</v>
      </c>
      <c r="E28" s="11">
        <v>532</v>
      </c>
      <c r="F28" s="38">
        <f t="shared" si="1"/>
        <v>6.3423665189760101E-2</v>
      </c>
      <c r="G28" s="34"/>
      <c r="H28" s="34"/>
      <c r="I28" s="34"/>
      <c r="L28" s="71"/>
      <c r="M28" s="69"/>
      <c r="N28" s="19"/>
      <c r="O28" s="19"/>
      <c r="P28" s="19"/>
      <c r="Q28" s="19"/>
      <c r="R28" s="19"/>
      <c r="S28" s="19"/>
      <c r="T28" s="19"/>
      <c r="U28" s="19"/>
      <c r="V28" s="13"/>
      <c r="W28" s="13"/>
      <c r="X28" s="13"/>
      <c r="Y28" s="13"/>
      <c r="Z28" s="13"/>
    </row>
    <row r="29" spans="1:26">
      <c r="A29" s="1" t="s">
        <v>379</v>
      </c>
      <c r="B29" t="s">
        <v>380</v>
      </c>
      <c r="D29" s="36">
        <f t="shared" si="0"/>
        <v>3.3741389880952377E-2</v>
      </c>
      <c r="E29" s="8">
        <v>1064</v>
      </c>
      <c r="F29" s="38">
        <f t="shared" si="1"/>
        <v>3.171183259488005E-2</v>
      </c>
      <c r="G29" s="34"/>
      <c r="H29" s="34"/>
      <c r="I29" s="34"/>
      <c r="L29" s="71"/>
      <c r="M29" s="72"/>
      <c r="N29" s="19"/>
      <c r="O29" s="19"/>
      <c r="P29" s="19"/>
      <c r="Q29" s="19"/>
      <c r="R29" s="19"/>
      <c r="S29" s="19"/>
      <c r="T29" s="19"/>
      <c r="U29" s="19"/>
      <c r="V29" s="13"/>
      <c r="W29" s="13"/>
      <c r="X29" s="13"/>
      <c r="Y29" s="13"/>
      <c r="Z29" s="13"/>
    </row>
    <row r="30" spans="1:26" s="13" customFormat="1">
      <c r="A30" s="39" t="s">
        <v>457</v>
      </c>
      <c r="B30" s="39" t="s">
        <v>456</v>
      </c>
      <c r="C30" s="58">
        <v>1.2378999999999999E-2</v>
      </c>
      <c r="D30" s="59"/>
      <c r="E30" s="60">
        <v>18</v>
      </c>
      <c r="F30" s="59">
        <f>C30/0.032</f>
        <v>0.38684374999999999</v>
      </c>
      <c r="G30" s="59"/>
      <c r="H30" s="59"/>
      <c r="I30" s="59"/>
      <c r="J30" s="19"/>
      <c r="K30" s="19"/>
      <c r="L30" s="71"/>
      <c r="M30" s="72"/>
      <c r="N30" s="19"/>
      <c r="O30" s="19"/>
      <c r="P30" s="19"/>
      <c r="Q30" s="19"/>
      <c r="R30" s="19"/>
      <c r="S30" s="19"/>
      <c r="T30" s="19"/>
      <c r="U30" s="19"/>
    </row>
    <row r="31" spans="1:26" s="13" customFormat="1">
      <c r="A31" s="39" t="s">
        <v>459</v>
      </c>
      <c r="B31" s="13" t="s">
        <v>458</v>
      </c>
      <c r="C31" s="58">
        <v>4.9519999999999998E-3</v>
      </c>
      <c r="D31" s="59"/>
      <c r="E31" s="60">
        <v>92</v>
      </c>
      <c r="F31" s="59">
        <f t="shared" ref="F31:F38" si="2">C31/0.032</f>
        <v>0.15475</v>
      </c>
      <c r="G31" s="59"/>
      <c r="H31" s="59"/>
      <c r="I31" s="59"/>
      <c r="J31" s="19"/>
      <c r="K31" s="19"/>
      <c r="L31" s="71"/>
      <c r="M31" s="72"/>
      <c r="N31" s="19"/>
      <c r="O31" s="19"/>
      <c r="P31" s="19"/>
      <c r="Q31" s="19"/>
      <c r="R31" s="19"/>
      <c r="S31" s="19"/>
      <c r="T31" s="19"/>
      <c r="U31" s="19"/>
    </row>
    <row r="32" spans="1:26" s="13" customFormat="1">
      <c r="A32" s="39" t="s">
        <v>461</v>
      </c>
      <c r="B32" s="13" t="s">
        <v>460</v>
      </c>
      <c r="C32" s="58">
        <v>2.4000000000000001E-5</v>
      </c>
      <c r="D32" s="59"/>
      <c r="E32" s="60">
        <v>59</v>
      </c>
      <c r="F32" s="59">
        <f t="shared" si="2"/>
        <v>7.5000000000000002E-4</v>
      </c>
      <c r="G32" s="59"/>
      <c r="H32" s="59"/>
      <c r="I32" s="59"/>
      <c r="J32" s="19"/>
      <c r="K32" s="19"/>
      <c r="L32" s="71"/>
      <c r="M32" s="72"/>
      <c r="N32" s="19"/>
      <c r="O32" s="19"/>
      <c r="P32" s="19"/>
      <c r="Q32" s="19"/>
      <c r="R32" s="19"/>
      <c r="S32" s="19"/>
      <c r="T32" s="19"/>
      <c r="U32" s="19"/>
    </row>
    <row r="33" spans="1:34" s="13" customFormat="1">
      <c r="A33" s="12" t="s">
        <v>365</v>
      </c>
      <c r="B33" s="13" t="s">
        <v>377</v>
      </c>
      <c r="C33" s="58">
        <v>6.3879999999999996E-3</v>
      </c>
      <c r="D33" s="59"/>
      <c r="E33" s="61">
        <v>56</v>
      </c>
      <c r="F33" s="59">
        <f t="shared" si="2"/>
        <v>0.19962499999999997</v>
      </c>
      <c r="G33" s="59"/>
      <c r="H33" s="59"/>
      <c r="I33" s="59"/>
      <c r="J33" s="19"/>
      <c r="K33" s="19"/>
      <c r="L33" s="71"/>
      <c r="M33" s="72"/>
      <c r="N33" s="19"/>
      <c r="O33" s="19"/>
      <c r="P33" s="19"/>
      <c r="Q33" s="19"/>
      <c r="R33" s="19"/>
      <c r="S33" s="19"/>
      <c r="T33" s="19"/>
      <c r="U33" s="19"/>
    </row>
    <row r="34" spans="1:34" s="13" customFormat="1" ht="13.5" customHeight="1">
      <c r="A34" s="39" t="s">
        <v>463</v>
      </c>
      <c r="B34" s="13" t="s">
        <v>462</v>
      </c>
      <c r="C34" s="58">
        <v>7.4279999999999997E-3</v>
      </c>
      <c r="D34" s="59"/>
      <c r="E34" s="61">
        <v>56</v>
      </c>
      <c r="F34" s="59">
        <f t="shared" si="2"/>
        <v>0.232125</v>
      </c>
      <c r="G34" s="59"/>
      <c r="H34" s="59"/>
      <c r="I34" s="59"/>
      <c r="J34" s="19"/>
      <c r="K34" s="19"/>
      <c r="O34" s="12"/>
      <c r="P34" s="12"/>
      <c r="Q34" s="12"/>
    </row>
    <row r="35" spans="1:34" s="13" customFormat="1">
      <c r="A35" s="39" t="s">
        <v>464</v>
      </c>
      <c r="B35" s="13" t="s">
        <v>465</v>
      </c>
      <c r="C35" s="58">
        <v>6.5799999999999995E-4</v>
      </c>
      <c r="D35" s="59"/>
      <c r="E35" s="60">
        <v>55</v>
      </c>
      <c r="F35" s="59">
        <f t="shared" si="2"/>
        <v>2.0562499999999997E-2</v>
      </c>
      <c r="G35" s="59"/>
      <c r="H35" s="59"/>
      <c r="I35" s="59"/>
      <c r="J35" s="19"/>
      <c r="K35" s="19"/>
    </row>
    <row r="36" spans="1:34" s="13" customFormat="1">
      <c r="A36" s="39" t="s">
        <v>467</v>
      </c>
      <c r="B36" s="13" t="s">
        <v>466</v>
      </c>
      <c r="C36" s="58">
        <v>8.2529999999999999E-3</v>
      </c>
      <c r="D36" s="59"/>
      <c r="E36" s="60">
        <v>24</v>
      </c>
      <c r="F36" s="59">
        <f t="shared" si="2"/>
        <v>0.25790625</v>
      </c>
      <c r="G36" s="62"/>
      <c r="H36" s="62">
        <f>376*F11/1000</f>
        <v>3.3741389880952377E-2</v>
      </c>
      <c r="I36" s="62"/>
      <c r="J36" s="63"/>
      <c r="K36" s="63"/>
      <c r="L36" s="64"/>
      <c r="M36" s="64"/>
      <c r="N36" s="64"/>
      <c r="O36" s="64"/>
      <c r="P36" s="64"/>
      <c r="Q36" s="64"/>
      <c r="R36" s="64"/>
      <c r="S36" s="64"/>
      <c r="AG36" s="65"/>
      <c r="AH36" s="65"/>
    </row>
    <row r="37" spans="1:34" s="13" customFormat="1">
      <c r="A37" s="39" t="s">
        <v>468</v>
      </c>
      <c r="B37" s="13" t="s">
        <v>469</v>
      </c>
      <c r="C37" s="58">
        <v>0.18568999999999999</v>
      </c>
      <c r="D37" s="59"/>
      <c r="E37" s="60">
        <v>39</v>
      </c>
      <c r="F37" s="59">
        <f t="shared" si="2"/>
        <v>5.8028124999999999</v>
      </c>
      <c r="H37" s="13">
        <f>39*F37/1000</f>
        <v>0.2263096875</v>
      </c>
      <c r="P37" s="65"/>
    </row>
    <row r="38" spans="1:34" s="13" customFormat="1">
      <c r="A38" s="39" t="s">
        <v>471</v>
      </c>
      <c r="B38" s="13" t="s">
        <v>470</v>
      </c>
      <c r="C38" s="58">
        <v>4.1260000000000003E-3</v>
      </c>
      <c r="D38" s="59"/>
      <c r="E38" s="60">
        <v>96</v>
      </c>
      <c r="F38" s="59">
        <f t="shared" si="2"/>
        <v>0.12893750000000001</v>
      </c>
    </row>
    <row r="39" spans="1:34">
      <c r="A39" s="1"/>
      <c r="C39" s="34"/>
      <c r="D39" s="34"/>
      <c r="E39" s="34"/>
      <c r="F39" s="48"/>
      <c r="G39" s="48"/>
      <c r="H39" s="48"/>
      <c r="I39" s="48"/>
      <c r="J39" s="48"/>
      <c r="K39" s="48"/>
      <c r="L39" s="48"/>
      <c r="M39" s="48"/>
      <c r="N39" s="48"/>
      <c r="O39" s="48"/>
    </row>
    <row r="40" spans="1:34" ht="25.5">
      <c r="A40" s="39" t="s">
        <v>474</v>
      </c>
      <c r="C40" s="34"/>
      <c r="D40" s="34"/>
      <c r="E40" s="34" t="s">
        <v>472</v>
      </c>
      <c r="F40" s="34"/>
      <c r="G40" s="34"/>
      <c r="H40" s="34"/>
      <c r="I40" s="34"/>
      <c r="J40" s="35"/>
      <c r="K40" s="35"/>
    </row>
    <row r="41" spans="1:34">
      <c r="A41" s="1"/>
      <c r="C41" s="34"/>
      <c r="D41" s="34"/>
      <c r="E41" s="34"/>
      <c r="F41" s="36"/>
      <c r="G41" s="36"/>
      <c r="H41" s="36"/>
      <c r="I41" s="36"/>
      <c r="J41" s="37"/>
      <c r="K41" s="37"/>
      <c r="L41" s="37"/>
      <c r="M41" s="37"/>
    </row>
    <row r="42" spans="1:34">
      <c r="A42" s="1" t="s">
        <v>475</v>
      </c>
      <c r="B42" s="1" t="s">
        <v>476</v>
      </c>
      <c r="C42" s="34"/>
      <c r="D42" s="34"/>
      <c r="E42" s="34"/>
      <c r="F42" s="36"/>
      <c r="G42" s="36"/>
      <c r="H42" s="36"/>
      <c r="I42" s="36"/>
      <c r="J42" s="37"/>
      <c r="K42" s="37"/>
      <c r="L42" s="37"/>
      <c r="M42" s="37"/>
    </row>
    <row r="43" spans="1:34">
      <c r="A43" s="1" t="s">
        <v>477</v>
      </c>
      <c r="B43" t="s">
        <v>136</v>
      </c>
      <c r="C43" t="s">
        <v>133</v>
      </c>
      <c r="E43" s="1" t="s">
        <v>478</v>
      </c>
      <c r="F43" t="s">
        <v>134</v>
      </c>
      <c r="G43" t="s">
        <v>134</v>
      </c>
      <c r="H43" t="s">
        <v>135</v>
      </c>
      <c r="I43" s="1" t="s">
        <v>539</v>
      </c>
      <c r="J43" s="1" t="s">
        <v>540</v>
      </c>
      <c r="K43" s="35"/>
      <c r="L43" s="35"/>
      <c r="M43" s="35"/>
    </row>
    <row r="44" spans="1:34">
      <c r="A44" s="1"/>
      <c r="C44" s="34"/>
      <c r="D44" s="34"/>
      <c r="E44" s="34"/>
      <c r="F44" s="34"/>
      <c r="G44" s="34"/>
      <c r="H44" s="34"/>
      <c r="I44" s="34"/>
      <c r="J44" s="35"/>
      <c r="K44" s="35"/>
      <c r="L44" s="35"/>
      <c r="M44" s="35"/>
    </row>
    <row r="46" spans="1:34">
      <c r="A46" s="1" t="s">
        <v>350</v>
      </c>
    </row>
    <row r="48" spans="1:34">
      <c r="A48" s="12" t="s">
        <v>354</v>
      </c>
      <c r="B48" s="13" t="s">
        <v>136</v>
      </c>
      <c r="C48" s="12" t="s">
        <v>133</v>
      </c>
      <c r="D48" s="13"/>
      <c r="E48" s="12" t="s">
        <v>356</v>
      </c>
      <c r="F48" s="13" t="s">
        <v>134</v>
      </c>
      <c r="G48" s="13" t="s">
        <v>134</v>
      </c>
      <c r="H48" s="13" t="s">
        <v>135</v>
      </c>
      <c r="I48" s="12" t="s">
        <v>381</v>
      </c>
      <c r="J48" s="12" t="s">
        <v>382</v>
      </c>
      <c r="K48" s="13"/>
      <c r="L48" s="13"/>
      <c r="M48" s="13"/>
      <c r="N48" s="13"/>
      <c r="O48" s="13"/>
      <c r="P48" s="13"/>
      <c r="Q48" s="13"/>
      <c r="R48" s="13"/>
    </row>
    <row r="49" spans="1:42">
      <c r="A49" s="12" t="s">
        <v>355</v>
      </c>
      <c r="B49" s="13" t="s">
        <v>136</v>
      </c>
      <c r="C49" s="12" t="s">
        <v>133</v>
      </c>
      <c r="D49" s="13"/>
      <c r="E49" s="12" t="s">
        <v>357</v>
      </c>
      <c r="F49" s="13" t="s">
        <v>134</v>
      </c>
      <c r="G49" s="13" t="s">
        <v>134</v>
      </c>
      <c r="H49" s="13" t="s">
        <v>135</v>
      </c>
      <c r="I49" s="12" t="s">
        <v>384</v>
      </c>
      <c r="J49" s="12" t="s">
        <v>383</v>
      </c>
    </row>
    <row r="53" spans="1:42">
      <c r="A53" t="s">
        <v>36</v>
      </c>
      <c r="B53" t="s">
        <v>358</v>
      </c>
      <c r="C53" t="s">
        <v>359</v>
      </c>
      <c r="D53" t="s">
        <v>79</v>
      </c>
      <c r="E53" t="s">
        <v>360</v>
      </c>
      <c r="F53" t="s">
        <v>317</v>
      </c>
      <c r="G53" t="s">
        <v>77</v>
      </c>
      <c r="H53" t="s">
        <v>83</v>
      </c>
      <c r="I53" t="s">
        <v>361</v>
      </c>
      <c r="J53" t="s">
        <v>362</v>
      </c>
    </row>
    <row r="54" spans="1:42" s="31" customFormat="1" ht="14.1" customHeight="1">
      <c r="A54"/>
      <c r="B54"/>
      <c r="C54"/>
      <c r="D54"/>
      <c r="E54"/>
      <c r="F54"/>
      <c r="G54"/>
      <c r="H54"/>
      <c r="I54"/>
      <c r="J54"/>
      <c r="K54"/>
      <c r="L54"/>
      <c r="M54"/>
      <c r="N54"/>
      <c r="O54"/>
      <c r="P54"/>
      <c r="Q54"/>
      <c r="R54"/>
      <c r="AL54"/>
      <c r="AM54"/>
      <c r="AN54"/>
      <c r="AO54"/>
      <c r="AP54"/>
    </row>
    <row r="55" spans="1:42" s="31" customFormat="1" ht="14.1" customHeight="1">
      <c r="A55" t="s">
        <v>212</v>
      </c>
      <c r="B55" t="s">
        <v>378</v>
      </c>
      <c r="C55" t="s">
        <v>377</v>
      </c>
      <c r="D55" t="s">
        <v>214</v>
      </c>
      <c r="E55" t="s">
        <v>376</v>
      </c>
      <c r="F55" t="s">
        <v>347</v>
      </c>
      <c r="G55" t="s">
        <v>216</v>
      </c>
      <c r="H55" s="1" t="s">
        <v>375</v>
      </c>
      <c r="I55" t="s">
        <v>249</v>
      </c>
      <c r="J55" t="s">
        <v>322</v>
      </c>
      <c r="K55" s="1" t="s">
        <v>373</v>
      </c>
      <c r="L55"/>
      <c r="M55"/>
      <c r="N55"/>
      <c r="O55"/>
      <c r="P55"/>
      <c r="Q55"/>
      <c r="R55"/>
      <c r="AL55"/>
      <c r="AM55"/>
      <c r="AN55"/>
      <c r="AO55"/>
      <c r="AP55"/>
    </row>
    <row r="56" spans="1:42" s="31" customFormat="1" ht="14.1" customHeight="1">
      <c r="A56" s="1" t="s">
        <v>363</v>
      </c>
      <c r="B56" s="1" t="s">
        <v>364</v>
      </c>
      <c r="C56" s="1" t="s">
        <v>365</v>
      </c>
      <c r="D56" s="1" t="s">
        <v>366</v>
      </c>
      <c r="E56" s="1" t="s">
        <v>367</v>
      </c>
      <c r="F56" s="1" t="s">
        <v>368</v>
      </c>
      <c r="G56" s="1" t="s">
        <v>369</v>
      </c>
      <c r="H56" s="1" t="s">
        <v>374</v>
      </c>
      <c r="I56" s="1" t="s">
        <v>370</v>
      </c>
      <c r="J56" s="1" t="s">
        <v>371</v>
      </c>
      <c r="K56" s="1" t="s">
        <v>372</v>
      </c>
      <c r="L56"/>
      <c r="M56"/>
      <c r="N56"/>
      <c r="O56"/>
      <c r="P56"/>
      <c r="Q56"/>
      <c r="R56"/>
    </row>
    <row r="57" spans="1:42" s="31" customFormat="1" ht="14.1" customHeight="1">
      <c r="A57">
        <v>-1</v>
      </c>
      <c r="B57">
        <v>-1</v>
      </c>
      <c r="C57">
        <v>-2</v>
      </c>
      <c r="D57">
        <v>-1</v>
      </c>
      <c r="E57">
        <v>-2</v>
      </c>
      <c r="F57">
        <v>1</v>
      </c>
      <c r="G57">
        <v>1</v>
      </c>
      <c r="H57">
        <v>1</v>
      </c>
      <c r="I57">
        <v>3</v>
      </c>
      <c r="J57">
        <v>-2</v>
      </c>
      <c r="K57">
        <v>1</v>
      </c>
      <c r="L57"/>
      <c r="M57"/>
      <c r="N57"/>
      <c r="O57"/>
      <c r="P57"/>
      <c r="Q57"/>
      <c r="R57"/>
    </row>
    <row r="58" spans="1:42" s="31" customFormat="1" ht="14.1" customHeight="1">
      <c r="A58">
        <v>504</v>
      </c>
      <c r="B58">
        <v>785</v>
      </c>
      <c r="C58">
        <v>56</v>
      </c>
      <c r="D58">
        <v>18</v>
      </c>
      <c r="E58">
        <v>121</v>
      </c>
      <c r="F58">
        <v>425</v>
      </c>
      <c r="G58">
        <v>96</v>
      </c>
      <c r="H58">
        <v>783</v>
      </c>
      <c r="I58">
        <v>1</v>
      </c>
      <c r="J58">
        <v>89</v>
      </c>
      <c r="K58">
        <f>-SUMPRODUCT(A57:J57,A58:J58)/K57</f>
        <v>532</v>
      </c>
      <c r="L58"/>
      <c r="M58"/>
      <c r="N58"/>
      <c r="O58"/>
      <c r="P58"/>
      <c r="Q58"/>
      <c r="R58"/>
    </row>
    <row r="59" spans="1:42" s="31" customFormat="1" ht="14.1" customHeight="1">
      <c r="A59"/>
      <c r="B59"/>
      <c r="C59"/>
      <c r="D59"/>
      <c r="E59"/>
      <c r="F59"/>
      <c r="G59"/>
      <c r="H59"/>
      <c r="I59"/>
      <c r="J59"/>
      <c r="K59"/>
      <c r="L59"/>
      <c r="M59"/>
      <c r="N59"/>
      <c r="O59"/>
      <c r="P59"/>
      <c r="Q59"/>
      <c r="R59"/>
    </row>
    <row r="60" spans="1:42" s="31" customFormat="1" ht="14.1" customHeight="1">
      <c r="A60" t="s">
        <v>212</v>
      </c>
      <c r="B60" t="s">
        <v>378</v>
      </c>
      <c r="C60" t="s">
        <v>377</v>
      </c>
      <c r="D60" t="s">
        <v>214</v>
      </c>
      <c r="E60" t="s">
        <v>376</v>
      </c>
      <c r="F60" t="s">
        <v>347</v>
      </c>
      <c r="G60" t="s">
        <v>216</v>
      </c>
      <c r="H60" s="1" t="s">
        <v>375</v>
      </c>
      <c r="I60" t="s">
        <v>249</v>
      </c>
      <c r="J60" t="s">
        <v>322</v>
      </c>
      <c r="K60" s="1" t="s">
        <v>380</v>
      </c>
      <c r="L60"/>
      <c r="M60"/>
      <c r="N60"/>
      <c r="O60"/>
      <c r="P60"/>
      <c r="Q60"/>
      <c r="R60"/>
    </row>
    <row r="61" spans="1:42">
      <c r="A61" s="1" t="s">
        <v>363</v>
      </c>
      <c r="B61" s="1" t="s">
        <v>364</v>
      </c>
      <c r="C61" s="1" t="s">
        <v>365</v>
      </c>
      <c r="D61" s="1" t="s">
        <v>366</v>
      </c>
      <c r="E61" s="1" t="s">
        <v>367</v>
      </c>
      <c r="F61" s="1" t="s">
        <v>368</v>
      </c>
      <c r="G61" s="1" t="s">
        <v>369</v>
      </c>
      <c r="H61" s="1" t="s">
        <v>374</v>
      </c>
      <c r="I61" s="1" t="s">
        <v>370</v>
      </c>
      <c r="J61" s="1" t="s">
        <v>371</v>
      </c>
      <c r="K61" s="1" t="s">
        <v>379</v>
      </c>
      <c r="AL61" s="31"/>
      <c r="AM61" s="31"/>
      <c r="AN61" s="31"/>
      <c r="AO61" s="31"/>
      <c r="AP61" s="31"/>
    </row>
    <row r="62" spans="1:42">
      <c r="A62">
        <v>-2</v>
      </c>
      <c r="B62">
        <v>-3</v>
      </c>
      <c r="C62">
        <v>-4</v>
      </c>
      <c r="D62">
        <v>-2</v>
      </c>
      <c r="E62">
        <v>-4</v>
      </c>
      <c r="F62">
        <v>2</v>
      </c>
      <c r="G62">
        <v>2</v>
      </c>
      <c r="H62">
        <v>3</v>
      </c>
      <c r="I62">
        <v>8</v>
      </c>
      <c r="J62">
        <v>-4</v>
      </c>
      <c r="K62">
        <v>1</v>
      </c>
      <c r="AL62" s="31"/>
      <c r="AM62" s="31"/>
      <c r="AN62" s="31"/>
      <c r="AO62" s="31"/>
      <c r="AP62" s="31"/>
    </row>
    <row r="63" spans="1:42">
      <c r="A63">
        <v>504</v>
      </c>
      <c r="B63">
        <v>785</v>
      </c>
      <c r="C63">
        <v>56</v>
      </c>
      <c r="D63">
        <v>18</v>
      </c>
      <c r="E63">
        <v>121</v>
      </c>
      <c r="F63">
        <v>425</v>
      </c>
      <c r="G63">
        <v>96</v>
      </c>
      <c r="H63">
        <v>783</v>
      </c>
      <c r="I63">
        <v>1</v>
      </c>
      <c r="J63">
        <v>89</v>
      </c>
      <c r="K63">
        <f>-SUMPRODUCT(A62:J62,A63:J63)/K62</f>
        <v>1064</v>
      </c>
    </row>
    <row r="68" spans="1:24">
      <c r="A68" t="s">
        <v>391</v>
      </c>
    </row>
    <row r="69" spans="1:24">
      <c r="A69" t="s">
        <v>386</v>
      </c>
      <c r="B69" t="s">
        <v>132</v>
      </c>
      <c r="C69" t="s">
        <v>133</v>
      </c>
      <c r="E69" t="s">
        <v>387</v>
      </c>
      <c r="F69" t="s">
        <v>134</v>
      </c>
      <c r="G69" t="s">
        <v>134</v>
      </c>
      <c r="H69" t="s">
        <v>135</v>
      </c>
      <c r="I69" t="s">
        <v>388</v>
      </c>
      <c r="J69" t="s">
        <v>389</v>
      </c>
      <c r="O69" t="s">
        <v>390</v>
      </c>
    </row>
    <row r="71" spans="1:24">
      <c r="A71" t="s">
        <v>392</v>
      </c>
      <c r="P71" s="1"/>
      <c r="Q71" s="1" t="s">
        <v>103</v>
      </c>
      <c r="R71" s="1" t="s">
        <v>397</v>
      </c>
      <c r="S71" s="1"/>
      <c r="T71" s="1"/>
      <c r="U71" s="1"/>
      <c r="V71" s="1"/>
      <c r="W71" s="1"/>
      <c r="X71" s="1"/>
    </row>
    <row r="72" spans="1:24">
      <c r="A72" t="s">
        <v>393</v>
      </c>
      <c r="B72" t="s">
        <v>136</v>
      </c>
      <c r="C72" t="s">
        <v>133</v>
      </c>
      <c r="E72" t="s">
        <v>394</v>
      </c>
      <c r="F72" t="s">
        <v>134</v>
      </c>
      <c r="G72" t="s">
        <v>134</v>
      </c>
      <c r="H72" t="s">
        <v>135</v>
      </c>
      <c r="I72" s="1" t="s">
        <v>395</v>
      </c>
      <c r="J72" t="s">
        <v>396</v>
      </c>
      <c r="P72" s="1"/>
      <c r="Q72" s="57" t="s">
        <v>398</v>
      </c>
      <c r="R72" s="57" t="s">
        <v>399</v>
      </c>
      <c r="S72" s="1"/>
      <c r="T72" s="1"/>
      <c r="U72" s="1"/>
      <c r="V72" s="1"/>
      <c r="W72" s="1"/>
      <c r="X72" s="1"/>
    </row>
    <row r="73" spans="1:24">
      <c r="A73" s="1" t="s">
        <v>400</v>
      </c>
      <c r="B73" t="s">
        <v>136</v>
      </c>
      <c r="C73" t="s">
        <v>133</v>
      </c>
      <c r="E73" s="1" t="s">
        <v>401</v>
      </c>
      <c r="F73" t="s">
        <v>134</v>
      </c>
      <c r="G73" t="s">
        <v>134</v>
      </c>
      <c r="H73" t="s">
        <v>135</v>
      </c>
      <c r="I73" s="1" t="s">
        <v>402</v>
      </c>
      <c r="J73" s="1" t="s">
        <v>403</v>
      </c>
      <c r="P73" s="1"/>
      <c r="Q73" s="1"/>
      <c r="R73" s="1"/>
      <c r="S73" s="1"/>
      <c r="T73" s="1"/>
      <c r="U73" s="1"/>
      <c r="V73" s="1"/>
      <c r="W73" s="1"/>
      <c r="X73" s="1"/>
    </row>
    <row r="75" spans="1:24">
      <c r="A75" s="1" t="s">
        <v>424</v>
      </c>
    </row>
    <row r="76" spans="1:24">
      <c r="A76" t="s">
        <v>420</v>
      </c>
      <c r="B76" t="s">
        <v>419</v>
      </c>
      <c r="C76" t="s">
        <v>415</v>
      </c>
      <c r="D76" t="s">
        <v>416</v>
      </c>
      <c r="E76" t="s">
        <v>417</v>
      </c>
      <c r="F76" s="1" t="s">
        <v>418</v>
      </c>
      <c r="G76" t="s">
        <v>215</v>
      </c>
      <c r="H76" s="1" t="s">
        <v>241</v>
      </c>
      <c r="I76" s="1" t="s">
        <v>414</v>
      </c>
      <c r="J76" s="1" t="s">
        <v>413</v>
      </c>
    </row>
    <row r="77" spans="1:24">
      <c r="A77" s="1" t="s">
        <v>404</v>
      </c>
      <c r="B77" s="1" t="s">
        <v>405</v>
      </c>
      <c r="C77" s="1" t="s">
        <v>408</v>
      </c>
      <c r="D77" s="1" t="s">
        <v>409</v>
      </c>
      <c r="E77" s="1" t="s">
        <v>411</v>
      </c>
      <c r="F77" s="1" t="s">
        <v>412</v>
      </c>
      <c r="G77" s="1" t="s">
        <v>406</v>
      </c>
      <c r="H77" s="1" t="s">
        <v>407</v>
      </c>
      <c r="I77" s="1" t="s">
        <v>410</v>
      </c>
      <c r="J77" s="1" t="s">
        <v>450</v>
      </c>
    </row>
    <row r="78" spans="1:24">
      <c r="A78">
        <v>-1</v>
      </c>
      <c r="B78">
        <v>-7</v>
      </c>
      <c r="C78">
        <v>-1</v>
      </c>
      <c r="D78">
        <v>-1</v>
      </c>
      <c r="E78">
        <v>-2</v>
      </c>
      <c r="F78">
        <v>2</v>
      </c>
      <c r="G78">
        <v>8</v>
      </c>
      <c r="H78">
        <v>1</v>
      </c>
      <c r="I78">
        <v>1</v>
      </c>
      <c r="J78">
        <v>1</v>
      </c>
    </row>
    <row r="79" spans="1:24">
      <c r="A79">
        <v>312</v>
      </c>
      <c r="B79">
        <v>244</v>
      </c>
      <c r="C79">
        <v>203</v>
      </c>
      <c r="D79">
        <v>399</v>
      </c>
      <c r="E79">
        <v>742</v>
      </c>
      <c r="F79">
        <v>741</v>
      </c>
      <c r="G79">
        <v>176</v>
      </c>
      <c r="H79">
        <v>44</v>
      </c>
      <c r="I79">
        <v>384</v>
      </c>
      <c r="J79">
        <f>-SUMPRODUCT(A78:I78,A79:I79)/J78</f>
        <v>788</v>
      </c>
    </row>
    <row r="81" spans="1:10">
      <c r="A81" s="1" t="s">
        <v>421</v>
      </c>
      <c r="B81" t="s">
        <v>136</v>
      </c>
      <c r="C81" t="s">
        <v>133</v>
      </c>
      <c r="E81" s="1" t="s">
        <v>422</v>
      </c>
      <c r="F81" t="s">
        <v>134</v>
      </c>
      <c r="G81" t="s">
        <v>134</v>
      </c>
      <c r="H81" t="s">
        <v>135</v>
      </c>
      <c r="I81" s="1" t="s">
        <v>423</v>
      </c>
      <c r="J81" s="1" t="s">
        <v>451</v>
      </c>
    </row>
  </sheetData>
  <mergeCells count="1">
    <mergeCell ref="A1:R4"/>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29"/>
  <sheetViews>
    <sheetView workbookViewId="0">
      <selection activeCell="B55" sqref="B55"/>
    </sheetView>
  </sheetViews>
  <sheetFormatPr defaultRowHeight="12.75"/>
  <cols>
    <col min="6" max="6" width="10" bestFit="1" customWidth="1"/>
  </cols>
  <sheetData>
    <row r="1" spans="1:18" ht="12.75" customHeight="1">
      <c r="A1" s="88" t="s">
        <v>636</v>
      </c>
      <c r="B1" s="88"/>
      <c r="C1" s="88"/>
      <c r="D1" s="88"/>
      <c r="E1" s="88"/>
      <c r="F1" s="88"/>
      <c r="G1" s="88"/>
      <c r="H1" s="88"/>
      <c r="I1" s="88"/>
      <c r="J1" s="88"/>
      <c r="K1" s="88"/>
      <c r="L1" s="88"/>
      <c r="M1" s="88"/>
      <c r="N1" s="88"/>
      <c r="O1" s="88"/>
      <c r="P1" s="88"/>
      <c r="Q1" s="88"/>
      <c r="R1" s="88"/>
    </row>
    <row r="2" spans="1:18">
      <c r="A2" s="88"/>
      <c r="B2" s="88"/>
      <c r="C2" s="88"/>
      <c r="D2" s="88"/>
      <c r="E2" s="88"/>
      <c r="F2" s="88"/>
      <c r="G2" s="88"/>
      <c r="H2" s="88"/>
      <c r="I2" s="88"/>
      <c r="J2" s="88"/>
      <c r="K2" s="88"/>
      <c r="L2" s="88"/>
      <c r="M2" s="88"/>
      <c r="N2" s="88"/>
      <c r="O2" s="88"/>
      <c r="P2" s="88"/>
      <c r="Q2" s="88"/>
      <c r="R2" s="88"/>
    </row>
    <row r="3" spans="1:18">
      <c r="A3" s="88"/>
      <c r="B3" s="88"/>
      <c r="C3" s="88"/>
      <c r="D3" s="88"/>
      <c r="E3" s="88"/>
      <c r="F3" s="88"/>
      <c r="G3" s="88"/>
      <c r="H3" s="88"/>
      <c r="I3" s="88"/>
      <c r="J3" s="88"/>
      <c r="K3" s="88"/>
      <c r="L3" s="88"/>
      <c r="M3" s="88"/>
      <c r="N3" s="88"/>
      <c r="O3" s="88"/>
      <c r="P3" s="88"/>
      <c r="Q3" s="88"/>
      <c r="R3" s="88"/>
    </row>
    <row r="4" spans="1:18">
      <c r="A4" s="88"/>
      <c r="B4" s="88"/>
      <c r="C4" s="88"/>
      <c r="D4" s="88"/>
      <c r="E4" s="88"/>
      <c r="F4" s="88"/>
      <c r="G4" s="88"/>
      <c r="H4" s="88"/>
      <c r="I4" s="88"/>
      <c r="J4" s="88"/>
      <c r="K4" s="88"/>
      <c r="L4" s="88"/>
      <c r="M4" s="88"/>
      <c r="N4" s="88"/>
      <c r="O4" s="88"/>
      <c r="P4" s="88"/>
      <c r="Q4" s="88"/>
      <c r="R4" s="88"/>
    </row>
    <row r="5" spans="1:18">
      <c r="A5" s="88"/>
      <c r="B5" s="88"/>
      <c r="C5" s="88"/>
      <c r="D5" s="88"/>
      <c r="E5" s="88"/>
      <c r="F5" s="88"/>
      <c r="G5" s="88"/>
      <c r="H5" s="88"/>
      <c r="I5" s="88"/>
      <c r="J5" s="88"/>
      <c r="K5" s="88"/>
      <c r="L5" s="88"/>
      <c r="M5" s="88"/>
      <c r="N5" s="88"/>
      <c r="O5" s="88"/>
      <c r="P5" s="88"/>
      <c r="Q5" s="88"/>
      <c r="R5" s="88"/>
    </row>
    <row r="6" spans="1:18">
      <c r="A6" s="88"/>
      <c r="B6" s="88"/>
      <c r="C6" s="88"/>
      <c r="D6" s="88"/>
      <c r="E6" s="88"/>
      <c r="F6" s="88"/>
      <c r="G6" s="88"/>
      <c r="H6" s="88"/>
      <c r="I6" s="88"/>
      <c r="J6" s="88"/>
      <c r="K6" s="88"/>
      <c r="L6" s="88"/>
      <c r="M6" s="88"/>
      <c r="N6" s="88"/>
      <c r="O6" s="88"/>
      <c r="P6" s="88"/>
      <c r="Q6" s="88"/>
      <c r="R6" s="88"/>
    </row>
    <row r="7" spans="1:18">
      <c r="A7" s="88"/>
      <c r="B7" s="88"/>
      <c r="C7" s="88"/>
      <c r="D7" s="88"/>
      <c r="E7" s="88"/>
      <c r="F7" s="88"/>
      <c r="G7" s="88"/>
      <c r="H7" s="88"/>
      <c r="I7" s="88"/>
      <c r="J7" s="88"/>
      <c r="K7" s="88"/>
      <c r="L7" s="88"/>
      <c r="M7" s="88"/>
      <c r="N7" s="88"/>
      <c r="O7" s="88"/>
      <c r="P7" s="88"/>
      <c r="Q7" s="88"/>
      <c r="R7" s="88"/>
    </row>
    <row r="8" spans="1:18">
      <c r="A8" s="88"/>
      <c r="B8" s="88"/>
      <c r="C8" s="88"/>
      <c r="D8" s="88"/>
      <c r="E8" s="88"/>
      <c r="F8" s="88"/>
      <c r="G8" s="88"/>
      <c r="H8" s="88"/>
      <c r="I8" s="88"/>
      <c r="J8" s="88"/>
      <c r="K8" s="88"/>
      <c r="L8" s="88"/>
      <c r="M8" s="88"/>
      <c r="N8" s="88"/>
      <c r="O8" s="88"/>
      <c r="P8" s="88"/>
      <c r="Q8" s="88"/>
      <c r="R8" s="88"/>
    </row>
    <row r="10" spans="1:18">
      <c r="A10" s="2" t="s">
        <v>28</v>
      </c>
      <c r="C10" s="1" t="s">
        <v>106</v>
      </c>
    </row>
    <row r="11" spans="1:18" ht="12.75" customHeight="1">
      <c r="A11" s="88" t="s">
        <v>119</v>
      </c>
      <c r="B11" s="88"/>
      <c r="C11" s="88"/>
      <c r="D11" s="88"/>
      <c r="E11" s="88"/>
      <c r="F11" s="88"/>
      <c r="G11" s="88"/>
      <c r="H11" s="88"/>
      <c r="I11" s="88"/>
      <c r="J11" s="88"/>
      <c r="K11" s="88"/>
      <c r="L11" s="88"/>
      <c r="M11" s="88"/>
      <c r="N11" s="88"/>
      <c r="O11" s="88"/>
      <c r="P11" s="88"/>
      <c r="Q11" s="88"/>
      <c r="R11" s="88"/>
    </row>
    <row r="12" spans="1:18">
      <c r="A12" s="88"/>
      <c r="B12" s="88"/>
      <c r="C12" s="88"/>
      <c r="D12" s="88"/>
      <c r="E12" s="88"/>
      <c r="F12" s="88"/>
      <c r="G12" s="88"/>
      <c r="H12" s="88"/>
      <c r="I12" s="88"/>
      <c r="J12" s="88"/>
      <c r="K12" s="88"/>
      <c r="L12" s="88"/>
      <c r="M12" s="88"/>
      <c r="N12" s="88"/>
      <c r="O12" s="88"/>
      <c r="P12" s="88"/>
      <c r="Q12" s="88"/>
      <c r="R12" s="88"/>
    </row>
    <row r="13" spans="1:18">
      <c r="A13" s="88"/>
      <c r="B13" s="88"/>
      <c r="C13" s="88"/>
      <c r="D13" s="88"/>
      <c r="E13" s="88"/>
      <c r="F13" s="88"/>
      <c r="G13" s="88"/>
      <c r="H13" s="88"/>
      <c r="I13" s="88"/>
      <c r="J13" s="88"/>
      <c r="K13" s="88"/>
      <c r="L13" s="88"/>
      <c r="M13" s="88"/>
      <c r="N13" s="88"/>
      <c r="O13" s="88"/>
      <c r="P13" s="88"/>
      <c r="Q13" s="88"/>
      <c r="R13" s="88"/>
    </row>
    <row r="14" spans="1:18">
      <c r="A14" s="88"/>
      <c r="B14" s="88"/>
      <c r="C14" s="88"/>
      <c r="D14" s="88"/>
      <c r="E14" s="88"/>
      <c r="F14" s="88"/>
      <c r="G14" s="88"/>
      <c r="H14" s="88"/>
      <c r="I14" s="88"/>
      <c r="J14" s="88"/>
      <c r="K14" s="88"/>
      <c r="L14" s="88"/>
      <c r="M14" s="88"/>
      <c r="N14" s="88"/>
      <c r="O14" s="88"/>
      <c r="P14" s="88"/>
      <c r="Q14" s="88"/>
      <c r="R14" s="88"/>
    </row>
    <row r="15" spans="1:18">
      <c r="A15" s="88"/>
      <c r="B15" s="88"/>
      <c r="C15" s="88"/>
      <c r="D15" s="88"/>
      <c r="E15" s="88"/>
      <c r="F15" s="88"/>
      <c r="G15" s="88"/>
      <c r="H15" s="88"/>
      <c r="I15" s="88"/>
      <c r="J15" s="88"/>
      <c r="K15" s="88"/>
      <c r="L15" s="88"/>
      <c r="M15" s="88"/>
      <c r="N15" s="88"/>
      <c r="O15" s="88"/>
      <c r="P15" s="88"/>
      <c r="Q15" s="88"/>
      <c r="R15" s="88"/>
    </row>
    <row r="16" spans="1:18">
      <c r="A16" s="25"/>
      <c r="B16" s="25"/>
      <c r="C16" s="25"/>
      <c r="D16" s="25"/>
      <c r="E16" s="25"/>
      <c r="F16" s="25"/>
      <c r="G16" s="25"/>
      <c r="H16" s="25"/>
      <c r="I16" s="25"/>
      <c r="J16" s="25"/>
      <c r="K16" s="25"/>
      <c r="L16" s="25"/>
      <c r="M16" s="25"/>
      <c r="N16" s="25"/>
      <c r="O16" s="25"/>
      <c r="P16" s="25"/>
      <c r="Q16" s="25"/>
      <c r="R16" s="25"/>
    </row>
    <row r="17" spans="1:18">
      <c r="A17" s="1"/>
      <c r="C17" s="1" t="s">
        <v>120</v>
      </c>
      <c r="D17" s="12" t="s">
        <v>47</v>
      </c>
    </row>
    <row r="18" spans="1:18">
      <c r="A18" s="1" t="s">
        <v>99</v>
      </c>
      <c r="C18" s="1">
        <f>100-C19-C20</f>
        <v>67.5</v>
      </c>
      <c r="D18" s="13">
        <f>SUMPRODUCT(F31:F36,G31:G36)</f>
        <v>862.31182666666655</v>
      </c>
      <c r="E18" s="1" t="s">
        <v>123</v>
      </c>
      <c r="I18" s="1"/>
    </row>
    <row r="19" spans="1:18">
      <c r="A19" s="1" t="s">
        <v>100</v>
      </c>
      <c r="C19">
        <v>3.6</v>
      </c>
      <c r="D19" s="13">
        <v>162</v>
      </c>
      <c r="E19" s="1" t="s">
        <v>121</v>
      </c>
      <c r="I19" s="1"/>
    </row>
    <row r="20" spans="1:18">
      <c r="A20" s="1" t="s">
        <v>101</v>
      </c>
      <c r="C20">
        <f>32.5-C19</f>
        <v>28.9</v>
      </c>
      <c r="D20" s="13">
        <f>SUMPRODUCT(C90:C94,D90:D94)</f>
        <v>1089.5999999999999</v>
      </c>
      <c r="E20" s="1" t="s">
        <v>122</v>
      </c>
      <c r="Q20" s="1"/>
    </row>
    <row r="22" spans="1:18">
      <c r="A22" s="2" t="s">
        <v>99</v>
      </c>
      <c r="C22" s="1"/>
    </row>
    <row r="23" spans="1:18" ht="12.75" customHeight="1">
      <c r="A23" s="88" t="s">
        <v>637</v>
      </c>
      <c r="B23" s="88"/>
      <c r="C23" s="88"/>
      <c r="D23" s="88"/>
      <c r="E23" s="88"/>
      <c r="F23" s="88"/>
      <c r="G23" s="88"/>
      <c r="H23" s="88"/>
      <c r="I23" s="88"/>
      <c r="J23" s="88"/>
      <c r="K23" s="88"/>
      <c r="L23" s="88"/>
      <c r="M23" s="88"/>
      <c r="N23" s="88"/>
      <c r="O23" s="88"/>
      <c r="P23" s="88"/>
      <c r="Q23" s="88"/>
      <c r="R23" s="88"/>
    </row>
    <row r="24" spans="1:18">
      <c r="A24" s="88"/>
      <c r="B24" s="88"/>
      <c r="C24" s="88"/>
      <c r="D24" s="88"/>
      <c r="E24" s="88"/>
      <c r="F24" s="88"/>
      <c r="G24" s="88"/>
      <c r="H24" s="88"/>
      <c r="I24" s="88"/>
      <c r="J24" s="88"/>
      <c r="K24" s="88"/>
      <c r="L24" s="88"/>
      <c r="M24" s="88"/>
      <c r="N24" s="88"/>
      <c r="O24" s="88"/>
      <c r="P24" s="88"/>
      <c r="Q24" s="88"/>
      <c r="R24" s="88"/>
    </row>
    <row r="25" spans="1:18">
      <c r="A25" s="88"/>
      <c r="B25" s="88"/>
      <c r="C25" s="88"/>
      <c r="D25" s="88"/>
      <c r="E25" s="88"/>
      <c r="F25" s="88"/>
      <c r="G25" s="88"/>
      <c r="H25" s="88"/>
      <c r="I25" s="88"/>
      <c r="J25" s="88"/>
      <c r="K25" s="88"/>
      <c r="L25" s="88"/>
      <c r="M25" s="88"/>
      <c r="N25" s="88"/>
      <c r="O25" s="88"/>
      <c r="P25" s="88"/>
      <c r="Q25" s="88"/>
      <c r="R25" s="88"/>
    </row>
    <row r="26" spans="1:18">
      <c r="A26" s="88"/>
      <c r="B26" s="88"/>
      <c r="C26" s="88"/>
      <c r="D26" s="88"/>
      <c r="E26" s="88"/>
      <c r="F26" s="88"/>
      <c r="G26" s="88"/>
      <c r="H26" s="88"/>
      <c r="I26" s="88"/>
      <c r="J26" s="88"/>
      <c r="K26" s="88"/>
      <c r="L26" s="88"/>
      <c r="M26" s="88"/>
      <c r="N26" s="88"/>
      <c r="O26" s="88"/>
      <c r="P26" s="88"/>
      <c r="Q26" s="88"/>
      <c r="R26" s="88"/>
    </row>
    <row r="27" spans="1:18">
      <c r="A27" s="25"/>
      <c r="B27" s="25"/>
      <c r="C27" s="25"/>
      <c r="D27" s="25"/>
      <c r="E27" s="25"/>
      <c r="F27" s="25"/>
      <c r="G27" s="25"/>
      <c r="H27" s="25"/>
      <c r="I27" s="25"/>
      <c r="J27" s="25"/>
      <c r="K27" s="25"/>
      <c r="L27" s="25"/>
      <c r="M27" s="25"/>
      <c r="N27" s="25"/>
      <c r="O27" s="25"/>
      <c r="P27" s="25"/>
      <c r="Q27" s="25"/>
      <c r="R27" s="25"/>
    </row>
    <row r="28" spans="1:18" s="13" customFormat="1">
      <c r="A28" s="74" t="s">
        <v>638</v>
      </c>
      <c r="B28" s="75"/>
      <c r="C28" s="75"/>
      <c r="D28" s="75"/>
      <c r="E28" s="75"/>
      <c r="F28" s="75"/>
      <c r="G28" s="75"/>
      <c r="H28" s="75"/>
      <c r="I28" s="75"/>
      <c r="J28" s="75"/>
      <c r="K28" s="75"/>
      <c r="L28" s="75"/>
      <c r="M28" s="75"/>
      <c r="N28" s="75"/>
      <c r="O28" s="75"/>
      <c r="P28" s="75"/>
      <c r="Q28" s="75"/>
      <c r="R28" s="75"/>
    </row>
    <row r="29" spans="1:18">
      <c r="C29" s="1" t="s">
        <v>44</v>
      </c>
    </row>
    <row r="30" spans="1:18">
      <c r="C30" s="1" t="s">
        <v>102</v>
      </c>
      <c r="D30" s="1" t="s">
        <v>103</v>
      </c>
      <c r="E30" s="1" t="s">
        <v>104</v>
      </c>
      <c r="F30" s="1" t="s">
        <v>2</v>
      </c>
      <c r="G30" s="1" t="s">
        <v>47</v>
      </c>
      <c r="H30" s="1" t="s">
        <v>3</v>
      </c>
    </row>
    <row r="31" spans="1:18">
      <c r="A31" s="97" t="s">
        <v>4</v>
      </c>
      <c r="B31" s="97"/>
      <c r="C31">
        <v>0.97</v>
      </c>
      <c r="D31">
        <v>0.97</v>
      </c>
      <c r="E31">
        <v>0.84</v>
      </c>
      <c r="F31" s="24">
        <f t="shared" ref="F31:F36" si="0">AVERAGE(C31:E31)</f>
        <v>0.92666666666666664</v>
      </c>
      <c r="G31" s="7">
        <v>275.25799999999998</v>
      </c>
      <c r="H31" s="1">
        <f t="shared" ref="H31:H36" si="1">F31*1000/(F$31*G$31+F$32*G$32+F$33*G$33+F$34*G$34+F$35*G$35+F$36*G$36)</f>
        <v>1.074630589549918</v>
      </c>
      <c r="I31" s="1"/>
    </row>
    <row r="32" spans="1:18">
      <c r="A32" s="97" t="s">
        <v>5</v>
      </c>
      <c r="B32" s="97"/>
      <c r="C32">
        <v>1</v>
      </c>
      <c r="D32">
        <v>0.77</v>
      </c>
      <c r="E32">
        <v>0.86</v>
      </c>
      <c r="F32" s="24">
        <f>AVERAGE(C32:E32)</f>
        <v>0.87666666666666659</v>
      </c>
      <c r="G32" s="7">
        <v>203.19399999999999</v>
      </c>
      <c r="H32" s="1">
        <f t="shared" si="1"/>
        <v>1.0166469246461456</v>
      </c>
      <c r="O32" s="1"/>
      <c r="P32" s="1"/>
      <c r="Q32" s="1"/>
      <c r="R32" s="1"/>
    </row>
    <row r="33" spans="1:21">
      <c r="A33" s="97" t="s">
        <v>32</v>
      </c>
      <c r="B33" s="97"/>
      <c r="C33">
        <v>1.52</v>
      </c>
      <c r="D33">
        <v>1.19</v>
      </c>
      <c r="E33">
        <v>1.74</v>
      </c>
      <c r="F33" s="24">
        <f t="shared" si="0"/>
        <v>1.4833333333333334</v>
      </c>
      <c r="G33" s="7">
        <v>71.078999999999994</v>
      </c>
      <c r="H33" s="1">
        <f t="shared" si="1"/>
        <v>1.7201820588119194</v>
      </c>
      <c r="O33" s="1"/>
      <c r="P33" s="1"/>
      <c r="Q33" s="1"/>
      <c r="R33" s="1"/>
    </row>
    <row r="34" spans="1:21">
      <c r="A34" s="97" t="s">
        <v>6</v>
      </c>
      <c r="B34" s="97"/>
      <c r="C34">
        <v>1.05</v>
      </c>
      <c r="D34">
        <v>0.86</v>
      </c>
      <c r="E34">
        <v>1.21</v>
      </c>
      <c r="F34" s="24">
        <f t="shared" si="0"/>
        <v>1.04</v>
      </c>
      <c r="G34" s="7">
        <v>154.16800000000001</v>
      </c>
      <c r="H34" s="1">
        <f t="shared" si="1"/>
        <v>1.2060602299984693</v>
      </c>
    </row>
    <row r="35" spans="1:21">
      <c r="A35" s="97" t="s">
        <v>20</v>
      </c>
      <c r="B35" s="97"/>
      <c r="C35">
        <v>1</v>
      </c>
      <c r="D35">
        <v>1</v>
      </c>
      <c r="E35">
        <v>1</v>
      </c>
      <c r="F35" s="24">
        <f t="shared" si="0"/>
        <v>1</v>
      </c>
      <c r="G35" s="7">
        <v>129.11500000000001</v>
      </c>
      <c r="H35" s="1">
        <f t="shared" si="1"/>
        <v>1.1596732980754512</v>
      </c>
    </row>
    <row r="36" spans="1:21">
      <c r="A36" s="96" t="s">
        <v>17</v>
      </c>
      <c r="B36" s="97"/>
      <c r="C36">
        <v>0.87</v>
      </c>
      <c r="D36">
        <v>0.78</v>
      </c>
      <c r="E36">
        <v>0.98</v>
      </c>
      <c r="F36" s="24">
        <f t="shared" si="0"/>
        <v>0.87666666666666659</v>
      </c>
      <c r="G36" s="7">
        <v>39.036999999999999</v>
      </c>
      <c r="H36" s="1">
        <f t="shared" si="1"/>
        <v>1.0166469246461456</v>
      </c>
    </row>
    <row r="37" spans="1:21" s="13" customFormat="1">
      <c r="A37" s="12" t="s">
        <v>36</v>
      </c>
      <c r="H37" s="13">
        <f>SUM(H33:H36)</f>
        <v>5.1025625115319855</v>
      </c>
      <c r="O37" s="12"/>
      <c r="R37" s="12"/>
      <c r="U37" s="12"/>
    </row>
    <row r="39" spans="1:21">
      <c r="A39" t="s">
        <v>341</v>
      </c>
    </row>
    <row r="41" spans="1:21">
      <c r="C41" s="1" t="s">
        <v>102</v>
      </c>
      <c r="D41" s="1" t="s">
        <v>103</v>
      </c>
      <c r="E41" s="1" t="s">
        <v>104</v>
      </c>
      <c r="F41" s="1" t="s">
        <v>2</v>
      </c>
    </row>
    <row r="42" spans="1:21">
      <c r="A42" s="94" t="s">
        <v>342</v>
      </c>
      <c r="B42" s="94"/>
      <c r="C42" s="95">
        <v>0.69078947368421051</v>
      </c>
      <c r="D42" s="95">
        <v>0.77310924369747902</v>
      </c>
      <c r="E42" s="95">
        <v>0.62643678160919547</v>
      </c>
      <c r="F42" s="95">
        <v>0.69677849966362837</v>
      </c>
    </row>
    <row r="43" spans="1:21">
      <c r="A43" s="94"/>
      <c r="B43" s="94"/>
      <c r="C43" s="95"/>
      <c r="D43" s="95"/>
      <c r="E43" s="95"/>
      <c r="F43" s="95"/>
    </row>
    <row r="45" spans="1:21">
      <c r="A45" s="1" t="s">
        <v>640</v>
      </c>
    </row>
    <row r="48" spans="1:21">
      <c r="B48" t="s">
        <v>318</v>
      </c>
      <c r="C48" t="s">
        <v>320</v>
      </c>
      <c r="D48" t="s">
        <v>322</v>
      </c>
      <c r="E48" t="s">
        <v>345</v>
      </c>
      <c r="F48" t="s">
        <v>323</v>
      </c>
      <c r="G48" t="s">
        <v>325</v>
      </c>
      <c r="H48" t="s">
        <v>327</v>
      </c>
      <c r="I48" t="s">
        <v>212</v>
      </c>
      <c r="J48" t="s">
        <v>347</v>
      </c>
      <c r="K48" t="s">
        <v>216</v>
      </c>
      <c r="L48" t="s">
        <v>346</v>
      </c>
    </row>
    <row r="49" spans="1:18">
      <c r="B49" t="s">
        <v>319</v>
      </c>
      <c r="C49" t="s">
        <v>321</v>
      </c>
      <c r="D49" t="s">
        <v>48</v>
      </c>
      <c r="E49" t="s">
        <v>343</v>
      </c>
      <c r="F49" t="s">
        <v>324</v>
      </c>
      <c r="G49" t="s">
        <v>326</v>
      </c>
      <c r="H49" t="s">
        <v>17</v>
      </c>
      <c r="I49" t="s">
        <v>36</v>
      </c>
      <c r="J49" t="s">
        <v>317</v>
      </c>
      <c r="K49" t="s">
        <v>340</v>
      </c>
      <c r="L49" t="s">
        <v>344</v>
      </c>
      <c r="M49" t="s">
        <v>338</v>
      </c>
    </row>
    <row r="50" spans="1:18">
      <c r="B50">
        <v>-1.075</v>
      </c>
      <c r="C50">
        <v>-1.0169999999999999</v>
      </c>
      <c r="D50">
        <v>0.82899999999999996</v>
      </c>
      <c r="E50">
        <v>0.36099999999999999</v>
      </c>
      <c r="F50">
        <v>-1.206</v>
      </c>
      <c r="G50">
        <v>-1.1599999999999999</v>
      </c>
      <c r="H50">
        <v>-1.0169999999999999</v>
      </c>
      <c r="I50">
        <v>-5.1029999999999998</v>
      </c>
      <c r="J50">
        <v>5.1029999999999998</v>
      </c>
      <c r="K50">
        <v>5.1029999999999998</v>
      </c>
      <c r="L50">
        <v>0.36099999999999999</v>
      </c>
      <c r="M50">
        <v>1</v>
      </c>
    </row>
    <row r="51" spans="1:18">
      <c r="B51">
        <v>676</v>
      </c>
      <c r="C51">
        <v>605</v>
      </c>
      <c r="D51">
        <v>89</v>
      </c>
      <c r="E51">
        <v>160</v>
      </c>
      <c r="F51">
        <v>190</v>
      </c>
      <c r="G51">
        <v>146</v>
      </c>
      <c r="H51">
        <v>75</v>
      </c>
      <c r="I51">
        <v>504</v>
      </c>
      <c r="J51">
        <v>425</v>
      </c>
      <c r="K51">
        <v>96</v>
      </c>
      <c r="L51">
        <v>89</v>
      </c>
      <c r="M51">
        <v>1566.3389999999995</v>
      </c>
    </row>
    <row r="53" spans="1:18" s="13" customFormat="1">
      <c r="A53" s="12" t="s">
        <v>339</v>
      </c>
      <c r="B53" s="13" t="s">
        <v>136</v>
      </c>
      <c r="C53" s="12" t="s">
        <v>133</v>
      </c>
      <c r="E53" s="12" t="s">
        <v>336</v>
      </c>
      <c r="F53" s="13" t="s">
        <v>134</v>
      </c>
      <c r="G53" s="13" t="s">
        <v>134</v>
      </c>
      <c r="H53" s="13" t="s">
        <v>135</v>
      </c>
      <c r="I53" s="12" t="s">
        <v>348</v>
      </c>
      <c r="J53" s="12" t="s">
        <v>349</v>
      </c>
    </row>
    <row r="60" spans="1:18">
      <c r="A60" s="2" t="s">
        <v>100</v>
      </c>
      <c r="G60" s="24">
        <f>F34*G34/SUMPRODUCT(F31:F36,G31:G36)</f>
        <v>0.18593589353840401</v>
      </c>
      <c r="I60">
        <f>22.92/57.9</f>
        <v>0.3958549222797928</v>
      </c>
      <c r="J60">
        <f>13.14/55.1</f>
        <v>0.238475499092559</v>
      </c>
      <c r="L60">
        <f>I38/(I38+I60)</f>
        <v>0</v>
      </c>
      <c r="M60">
        <f>J38/(J38+J60)</f>
        <v>0</v>
      </c>
    </row>
    <row r="61" spans="1:18" ht="12.75" customHeight="1">
      <c r="A61" s="88" t="s">
        <v>129</v>
      </c>
      <c r="B61" s="88"/>
      <c r="C61" s="88"/>
      <c r="D61" s="88"/>
      <c r="E61" s="88"/>
      <c r="F61" s="88"/>
      <c r="G61" s="88"/>
      <c r="H61" s="88"/>
      <c r="I61" s="88"/>
      <c r="J61" s="88"/>
      <c r="K61" s="88"/>
      <c r="L61" s="88"/>
      <c r="M61" s="88"/>
      <c r="N61" s="88"/>
      <c r="O61" s="88"/>
      <c r="P61" s="88"/>
      <c r="Q61" s="88"/>
      <c r="R61" s="88"/>
    </row>
    <row r="62" spans="1:18">
      <c r="A62" s="88"/>
      <c r="B62" s="88"/>
      <c r="C62" s="88"/>
      <c r="D62" s="88"/>
      <c r="E62" s="88"/>
      <c r="F62" s="88"/>
      <c r="G62" s="88"/>
      <c r="H62" s="88"/>
      <c r="I62" s="88"/>
      <c r="J62" s="88"/>
      <c r="K62" s="88"/>
      <c r="L62" s="88"/>
      <c r="M62" s="88"/>
      <c r="N62" s="88"/>
      <c r="O62" s="88"/>
      <c r="P62" s="88"/>
      <c r="Q62" s="88"/>
      <c r="R62" s="88"/>
    </row>
    <row r="63" spans="1:18">
      <c r="A63" s="88"/>
      <c r="B63" s="88"/>
      <c r="C63" s="88"/>
      <c r="D63" s="88"/>
      <c r="E63" s="88"/>
      <c r="F63" s="88"/>
      <c r="G63" s="88"/>
      <c r="H63" s="88"/>
      <c r="I63" s="88"/>
      <c r="J63" s="88"/>
      <c r="K63" s="88"/>
      <c r="L63" s="88"/>
      <c r="M63" s="88"/>
      <c r="N63" s="88"/>
      <c r="O63" s="88"/>
      <c r="P63" s="88"/>
      <c r="Q63" s="88"/>
      <c r="R63" s="88"/>
    </row>
    <row r="64" spans="1:18">
      <c r="C64" s="1" t="s">
        <v>0</v>
      </c>
      <c r="E64" s="1" t="s">
        <v>118</v>
      </c>
    </row>
    <row r="65" spans="1:13">
      <c r="A65" s="96" t="s">
        <v>114</v>
      </c>
      <c r="B65" s="97"/>
      <c r="C65">
        <v>30</v>
      </c>
      <c r="D65">
        <v>162</v>
      </c>
      <c r="E65" s="24">
        <f>(C65*1000)/(C65*D65)</f>
        <v>6.1728395061728394</v>
      </c>
    </row>
    <row r="68" spans="1:13">
      <c r="A68" s="1" t="s">
        <v>105</v>
      </c>
      <c r="C68" s="1" t="s">
        <v>106</v>
      </c>
      <c r="I68" s="1"/>
    </row>
    <row r="69" spans="1:13">
      <c r="A69" s="1" t="s">
        <v>100</v>
      </c>
      <c r="C69" s="1" t="s">
        <v>107</v>
      </c>
    </row>
    <row r="70" spans="1:13">
      <c r="J70" s="1"/>
      <c r="M70" s="1"/>
    </row>
    <row r="71" spans="1:13">
      <c r="A71" s="1" t="s">
        <v>108</v>
      </c>
      <c r="J71" s="1"/>
      <c r="K71" s="1"/>
      <c r="L71" s="1"/>
      <c r="M71" s="1"/>
    </row>
    <row r="72" spans="1:13">
      <c r="B72" s="1" t="s">
        <v>109</v>
      </c>
    </row>
    <row r="73" spans="1:13">
      <c r="B73" s="1" t="s">
        <v>110</v>
      </c>
      <c r="C73">
        <v>20</v>
      </c>
    </row>
    <row r="74" spans="1:13">
      <c r="B74" s="1" t="s">
        <v>111</v>
      </c>
      <c r="C74">
        <v>0.72</v>
      </c>
    </row>
    <row r="75" spans="1:13">
      <c r="C75">
        <f>C74/C73*100</f>
        <v>3.5999999999999996</v>
      </c>
    </row>
    <row r="76" spans="1:13">
      <c r="A76" s="1" t="s">
        <v>641</v>
      </c>
    </row>
    <row r="78" spans="1:13">
      <c r="A78" s="1" t="s">
        <v>257</v>
      </c>
      <c r="D78" s="1" t="s">
        <v>312</v>
      </c>
    </row>
    <row r="79" spans="1:13">
      <c r="A79" s="1" t="s">
        <v>88</v>
      </c>
      <c r="B79" s="1" t="s">
        <v>89</v>
      </c>
      <c r="C79" s="1" t="s">
        <v>83</v>
      </c>
      <c r="D79" s="1" t="s">
        <v>100</v>
      </c>
    </row>
    <row r="80" spans="1:13">
      <c r="A80">
        <v>-30</v>
      </c>
      <c r="B80">
        <v>30</v>
      </c>
      <c r="C80">
        <v>30</v>
      </c>
      <c r="D80">
        <v>1</v>
      </c>
    </row>
    <row r="81" spans="1:18">
      <c r="A81">
        <v>603</v>
      </c>
      <c r="B81">
        <v>441</v>
      </c>
      <c r="C81">
        <v>1</v>
      </c>
      <c r="D81">
        <f>-SUMPRODUCT(A80:C80,A81:C81)/D80</f>
        <v>4830</v>
      </c>
    </row>
    <row r="83" spans="1:18" s="13" customFormat="1">
      <c r="A83" s="12" t="s">
        <v>353</v>
      </c>
      <c r="B83" s="13" t="s">
        <v>136</v>
      </c>
      <c r="C83" s="12" t="s">
        <v>133</v>
      </c>
      <c r="E83" s="12" t="s">
        <v>313</v>
      </c>
      <c r="F83" s="13" t="s">
        <v>134</v>
      </c>
      <c r="G83" s="13" t="s">
        <v>134</v>
      </c>
      <c r="H83" s="13" t="s">
        <v>135</v>
      </c>
      <c r="I83" s="12" t="s">
        <v>314</v>
      </c>
      <c r="J83" s="12" t="s">
        <v>316</v>
      </c>
    </row>
    <row r="85" spans="1:18">
      <c r="A85" s="2" t="s">
        <v>101</v>
      </c>
    </row>
    <row r="86" spans="1:18">
      <c r="A86" s="88" t="s">
        <v>639</v>
      </c>
      <c r="B86" s="94"/>
      <c r="C86" s="94"/>
      <c r="D86" s="94"/>
      <c r="E86" s="94"/>
      <c r="F86" s="94"/>
      <c r="G86" s="94"/>
      <c r="H86" s="94"/>
      <c r="I86" s="94"/>
      <c r="J86" s="94"/>
      <c r="K86" s="94"/>
      <c r="L86" s="94"/>
      <c r="M86" s="94"/>
      <c r="N86" s="94"/>
      <c r="O86" s="94"/>
      <c r="P86" s="94"/>
      <c r="Q86" s="94"/>
      <c r="R86" s="94"/>
    </row>
    <row r="87" spans="1:18">
      <c r="A87" s="94"/>
      <c r="B87" s="94"/>
      <c r="C87" s="94"/>
      <c r="D87" s="94"/>
      <c r="E87" s="94"/>
      <c r="F87" s="94"/>
      <c r="G87" s="94"/>
      <c r="H87" s="94"/>
      <c r="I87" s="94"/>
      <c r="J87" s="94"/>
      <c r="K87" s="94"/>
      <c r="L87" s="94"/>
      <c r="M87" s="94"/>
      <c r="N87" s="94"/>
      <c r="O87" s="94"/>
      <c r="P87" s="94"/>
      <c r="Q87" s="94"/>
      <c r="R87" s="94"/>
    </row>
    <row r="88" spans="1:18">
      <c r="A88" s="94"/>
      <c r="B88" s="94"/>
      <c r="C88" s="94"/>
      <c r="D88" s="94"/>
      <c r="E88" s="94"/>
      <c r="F88" s="94"/>
      <c r="G88" s="94"/>
      <c r="H88" s="94"/>
      <c r="I88" s="94"/>
      <c r="J88" s="94"/>
      <c r="K88" s="94"/>
      <c r="L88" s="94"/>
      <c r="M88" s="94"/>
      <c r="N88" s="94"/>
      <c r="O88" s="94"/>
      <c r="P88" s="94"/>
      <c r="Q88" s="94"/>
      <c r="R88" s="94"/>
    </row>
    <row r="89" spans="1:18">
      <c r="C89" t="s">
        <v>0</v>
      </c>
      <c r="D89" t="s">
        <v>47</v>
      </c>
      <c r="E89" s="1" t="s">
        <v>116</v>
      </c>
    </row>
    <row r="90" spans="1:18">
      <c r="A90" s="96" t="s">
        <v>1</v>
      </c>
      <c r="B90" s="97"/>
      <c r="C90">
        <v>1</v>
      </c>
      <c r="D90">
        <v>162</v>
      </c>
      <c r="E90" s="24">
        <f>(C90*1000)/SUMPRODUCT(C$90:C$94,D$90:D$94)</f>
        <v>0.91776798825256978</v>
      </c>
    </row>
    <row r="91" spans="1:18">
      <c r="A91" s="96" t="s">
        <v>117</v>
      </c>
      <c r="B91" s="97"/>
      <c r="C91">
        <v>2</v>
      </c>
      <c r="D91">
        <v>257</v>
      </c>
      <c r="E91" s="24">
        <f>(C91*1000)/SUMPRODUCT(C$90:C$94,D$90:D$94)</f>
        <v>1.8355359765051396</v>
      </c>
    </row>
    <row r="92" spans="1:18">
      <c r="A92" s="96" t="s">
        <v>112</v>
      </c>
      <c r="B92" s="97"/>
      <c r="C92">
        <v>1</v>
      </c>
      <c r="D92">
        <v>162</v>
      </c>
      <c r="E92" s="24">
        <f>(C92*1000)/SUMPRODUCT(C$90:C$94,D$90:D$94)</f>
        <v>0.91776798825256978</v>
      </c>
    </row>
    <row r="93" spans="1:18">
      <c r="A93" s="96" t="s">
        <v>113</v>
      </c>
      <c r="B93" s="97"/>
      <c r="C93">
        <v>1</v>
      </c>
      <c r="D93">
        <v>203</v>
      </c>
      <c r="E93" s="24">
        <f>(C93*1000)/SUMPRODUCT(C$90:C$94,D$90:D$94)</f>
        <v>0.91776798825256978</v>
      </c>
    </row>
    <row r="94" spans="1:18">
      <c r="A94" s="96" t="s">
        <v>114</v>
      </c>
      <c r="B94" s="97"/>
      <c r="C94">
        <v>0.3</v>
      </c>
      <c r="D94">
        <v>162</v>
      </c>
      <c r="E94" s="24">
        <f>(C94*1000)/SUMPRODUCT(C$90:C$94,D$90:D$94)</f>
        <v>0.27533039647577096</v>
      </c>
    </row>
    <row r="95" spans="1:18">
      <c r="A95" s="96"/>
      <c r="B95" s="97"/>
      <c r="E95" t="s">
        <v>115</v>
      </c>
    </row>
    <row r="96" spans="1:18">
      <c r="A96" s="56"/>
      <c r="B96" s="55"/>
    </row>
    <row r="97" spans="1:11">
      <c r="A97" s="56" t="s">
        <v>350</v>
      </c>
      <c r="B97" s="55"/>
    </row>
    <row r="98" spans="1:11">
      <c r="A98" s="56"/>
      <c r="B98" s="55"/>
    </row>
    <row r="99" spans="1:11">
      <c r="A99" s="76" t="s">
        <v>642</v>
      </c>
      <c r="B99" s="77"/>
    </row>
    <row r="100" spans="1:11">
      <c r="A100" s="56"/>
      <c r="B100" s="55"/>
    </row>
    <row r="101" spans="1:11">
      <c r="A101" s="1" t="s">
        <v>282</v>
      </c>
      <c r="B101" t="s">
        <v>283</v>
      </c>
      <c r="C101" t="s">
        <v>284</v>
      </c>
      <c r="D101" t="s">
        <v>285</v>
      </c>
      <c r="E101" t="s">
        <v>287</v>
      </c>
      <c r="F101" t="s">
        <v>288</v>
      </c>
      <c r="G101" s="1" t="s">
        <v>249</v>
      </c>
      <c r="H101" t="s">
        <v>289</v>
      </c>
      <c r="I101" s="1" t="s">
        <v>281</v>
      </c>
    </row>
    <row r="102" spans="1:11">
      <c r="A102" s="1" t="s">
        <v>279</v>
      </c>
      <c r="B102" s="1" t="s">
        <v>7</v>
      </c>
      <c r="C102" s="1" t="s">
        <v>292</v>
      </c>
      <c r="D102" s="1" t="s">
        <v>286</v>
      </c>
      <c r="E102" s="1" t="s">
        <v>293</v>
      </c>
      <c r="F102" s="1" t="s">
        <v>277</v>
      </c>
      <c r="G102" s="1" t="s">
        <v>83</v>
      </c>
      <c r="H102" s="1" t="s">
        <v>278</v>
      </c>
      <c r="I102" s="1" t="s">
        <v>280</v>
      </c>
    </row>
    <row r="103" spans="1:11">
      <c r="A103">
        <v>-1</v>
      </c>
      <c r="B103">
        <v>-1</v>
      </c>
      <c r="C103">
        <v>-1</v>
      </c>
      <c r="D103">
        <v>-1</v>
      </c>
      <c r="E103">
        <v>1</v>
      </c>
      <c r="F103">
        <v>1</v>
      </c>
      <c r="G103">
        <v>2</v>
      </c>
      <c r="H103">
        <v>1</v>
      </c>
      <c r="I103">
        <v>1</v>
      </c>
    </row>
    <row r="104" spans="1:11">
      <c r="A104">
        <v>618</v>
      </c>
      <c r="B104">
        <v>662</v>
      </c>
      <c r="C104">
        <v>146</v>
      </c>
      <c r="D104">
        <v>806</v>
      </c>
      <c r="E104">
        <v>144</v>
      </c>
      <c r="F104">
        <v>663</v>
      </c>
      <c r="G104">
        <v>1</v>
      </c>
      <c r="H104">
        <v>764</v>
      </c>
      <c r="I104">
        <f>-SUMPRODUCT(A103:H103,A104:H104)/I103</f>
        <v>659</v>
      </c>
    </row>
    <row r="105" spans="1:11">
      <c r="A105" s="56"/>
      <c r="B105" s="55"/>
    </row>
    <row r="106" spans="1:11">
      <c r="A106" s="12" t="s">
        <v>273</v>
      </c>
      <c r="B106" s="13" t="s">
        <v>132</v>
      </c>
      <c r="C106" s="13" t="s">
        <v>133</v>
      </c>
      <c r="D106" s="13"/>
      <c r="E106" s="13" t="s">
        <v>274</v>
      </c>
      <c r="F106" s="13" t="s">
        <v>134</v>
      </c>
      <c r="G106" s="13" t="s">
        <v>134</v>
      </c>
      <c r="H106" s="13" t="s">
        <v>135</v>
      </c>
      <c r="I106" s="12" t="s">
        <v>275</v>
      </c>
      <c r="J106" s="12" t="s">
        <v>276</v>
      </c>
      <c r="K106" s="13"/>
    </row>
    <row r="107" spans="1:11">
      <c r="A107" s="12" t="s">
        <v>290</v>
      </c>
      <c r="B107" s="13" t="s">
        <v>136</v>
      </c>
      <c r="C107" s="12" t="s">
        <v>133</v>
      </c>
      <c r="D107" s="13"/>
      <c r="E107" s="12" t="s">
        <v>304</v>
      </c>
      <c r="F107" s="13" t="s">
        <v>134</v>
      </c>
      <c r="G107" s="13" t="s">
        <v>134</v>
      </c>
      <c r="H107" s="13" t="s">
        <v>135</v>
      </c>
      <c r="I107" s="12" t="s">
        <v>291</v>
      </c>
      <c r="J107" s="12" t="s">
        <v>294</v>
      </c>
      <c r="K107" s="13"/>
    </row>
    <row r="108" spans="1:11">
      <c r="B108" s="55"/>
    </row>
    <row r="109" spans="1:11">
      <c r="A109" s="56" t="s">
        <v>295</v>
      </c>
      <c r="B109" s="55"/>
    </row>
    <row r="110" spans="1:11">
      <c r="A110" s="56"/>
      <c r="B110" s="55"/>
    </row>
    <row r="111" spans="1:11">
      <c r="A111" t="s">
        <v>302</v>
      </c>
      <c r="B111" s="1" t="s">
        <v>281</v>
      </c>
      <c r="C111" s="1" t="s">
        <v>300</v>
      </c>
      <c r="D111" s="1" t="s">
        <v>298</v>
      </c>
      <c r="E111" s="1" t="s">
        <v>257</v>
      </c>
      <c r="F111" t="s">
        <v>307</v>
      </c>
      <c r="G111" t="s">
        <v>258</v>
      </c>
      <c r="H111" s="1" t="s">
        <v>308</v>
      </c>
      <c r="I111" s="1" t="s">
        <v>310</v>
      </c>
    </row>
    <row r="112" spans="1:11">
      <c r="A112" s="1" t="s">
        <v>303</v>
      </c>
      <c r="B112" s="1" t="s">
        <v>280</v>
      </c>
      <c r="C112" s="1" t="s">
        <v>301</v>
      </c>
      <c r="D112" s="1" t="s">
        <v>299</v>
      </c>
      <c r="E112" s="1" t="s">
        <v>88</v>
      </c>
      <c r="F112" s="1" t="s">
        <v>306</v>
      </c>
      <c r="G112" s="1" t="s">
        <v>89</v>
      </c>
      <c r="H112" s="1" t="s">
        <v>83</v>
      </c>
      <c r="I112" s="1" t="s">
        <v>101</v>
      </c>
    </row>
    <row r="113" spans="1:11">
      <c r="A113">
        <v>-1</v>
      </c>
      <c r="B113">
        <v>-2</v>
      </c>
      <c r="C113">
        <v>-1</v>
      </c>
      <c r="D113">
        <v>-1</v>
      </c>
      <c r="E113">
        <v>-0.3</v>
      </c>
      <c r="F113">
        <v>5</v>
      </c>
      <c r="G113">
        <v>0.3</v>
      </c>
      <c r="H113">
        <v>5.3</v>
      </c>
      <c r="I113">
        <v>1</v>
      </c>
    </row>
    <row r="114" spans="1:11">
      <c r="A114">
        <v>564</v>
      </c>
      <c r="B114">
        <v>659</v>
      </c>
      <c r="C114">
        <v>564</v>
      </c>
      <c r="D114">
        <v>605</v>
      </c>
      <c r="E114">
        <v>603</v>
      </c>
      <c r="F114">
        <v>402</v>
      </c>
      <c r="G114">
        <v>441</v>
      </c>
      <c r="H114">
        <v>1</v>
      </c>
      <c r="I114">
        <f>-SUMPRODUCT(A113:H113,A114:H114)</f>
        <v>1084.3000000000002</v>
      </c>
    </row>
    <row r="116" spans="1:11">
      <c r="A116" s="12" t="s">
        <v>305</v>
      </c>
      <c r="B116" s="13" t="s">
        <v>136</v>
      </c>
      <c r="C116" s="12" t="s">
        <v>133</v>
      </c>
      <c r="D116" s="13"/>
      <c r="E116" s="12" t="s">
        <v>295</v>
      </c>
      <c r="F116" s="13" t="s">
        <v>134</v>
      </c>
      <c r="G116" s="13" t="s">
        <v>134</v>
      </c>
      <c r="H116" s="13" t="s">
        <v>135</v>
      </c>
      <c r="I116" s="12" t="s">
        <v>309</v>
      </c>
      <c r="J116" s="12" t="s">
        <v>315</v>
      </c>
      <c r="K116" s="13"/>
    </row>
    <row r="117" spans="1:11">
      <c r="A117" s="56"/>
      <c r="B117" s="55"/>
    </row>
    <row r="118" spans="1:11">
      <c r="A118" s="2" t="s">
        <v>124</v>
      </c>
    </row>
    <row r="119" spans="1:11">
      <c r="A119" s="1"/>
      <c r="C119" s="1" t="s">
        <v>120</v>
      </c>
      <c r="D119" s="1"/>
      <c r="E119" s="1"/>
    </row>
    <row r="120" spans="1:11">
      <c r="A120" s="1" t="s">
        <v>99</v>
      </c>
      <c r="C120" s="1">
        <f>100-C121-C122</f>
        <v>67.5</v>
      </c>
    </row>
    <row r="121" spans="1:11">
      <c r="A121" s="1" t="s">
        <v>100</v>
      </c>
      <c r="C121">
        <v>3.6</v>
      </c>
    </row>
    <row r="122" spans="1:11">
      <c r="A122" s="1" t="s">
        <v>101</v>
      </c>
      <c r="C122">
        <f>32.5-C121</f>
        <v>28.9</v>
      </c>
    </row>
    <row r="124" spans="1:11">
      <c r="A124" s="1" t="s">
        <v>125</v>
      </c>
    </row>
    <row r="125" spans="1:11">
      <c r="A125" s="1" t="s">
        <v>126</v>
      </c>
    </row>
    <row r="126" spans="1:11">
      <c r="A126" s="1" t="s">
        <v>127</v>
      </c>
    </row>
    <row r="127" spans="1:11">
      <c r="A127" s="1" t="s">
        <v>128</v>
      </c>
    </row>
    <row r="129" spans="1:10">
      <c r="A129" s="12" t="s">
        <v>606</v>
      </c>
      <c r="B129" s="13" t="s">
        <v>136</v>
      </c>
      <c r="C129" s="12" t="s">
        <v>133</v>
      </c>
      <c r="D129" s="13"/>
      <c r="E129" s="12" t="s">
        <v>616</v>
      </c>
      <c r="F129" s="13" t="s">
        <v>134</v>
      </c>
      <c r="G129" s="13" t="s">
        <v>134</v>
      </c>
      <c r="H129" s="13" t="s">
        <v>135</v>
      </c>
      <c r="I129" s="12" t="s">
        <v>621</v>
      </c>
      <c r="J129" s="12" t="s">
        <v>618</v>
      </c>
    </row>
  </sheetData>
  <mergeCells count="23">
    <mergeCell ref="A1:R8"/>
    <mergeCell ref="A31:B31"/>
    <mergeCell ref="A32:B32"/>
    <mergeCell ref="A33:B33"/>
    <mergeCell ref="A34:B34"/>
    <mergeCell ref="A95:B95"/>
    <mergeCell ref="A61:R63"/>
    <mergeCell ref="A65:B65"/>
    <mergeCell ref="A86:R88"/>
    <mergeCell ref="A90:B90"/>
    <mergeCell ref="A92:B92"/>
    <mergeCell ref="A93:B93"/>
    <mergeCell ref="A94:B94"/>
    <mergeCell ref="A91:B91"/>
    <mergeCell ref="A42:B43"/>
    <mergeCell ref="C42:C43"/>
    <mergeCell ref="A36:B36"/>
    <mergeCell ref="A11:R15"/>
    <mergeCell ref="A23:R26"/>
    <mergeCell ref="F42:F43"/>
    <mergeCell ref="E42:E43"/>
    <mergeCell ref="D42:D43"/>
    <mergeCell ref="A35:B35"/>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65"/>
  <sheetViews>
    <sheetView workbookViewId="0">
      <selection sqref="A1:P4"/>
    </sheetView>
  </sheetViews>
  <sheetFormatPr defaultRowHeight="12.75"/>
  <cols>
    <col min="1" max="1" width="15.42578125" customWidth="1"/>
    <col min="4" max="4" width="11" customWidth="1"/>
    <col min="6" max="6" width="9.140625" customWidth="1"/>
  </cols>
  <sheetData>
    <row r="1" spans="1:20" ht="12.75" customHeight="1">
      <c r="A1" s="88" t="s">
        <v>643</v>
      </c>
      <c r="B1" s="88"/>
      <c r="C1" s="88"/>
      <c r="D1" s="88"/>
      <c r="E1" s="88"/>
      <c r="F1" s="88"/>
      <c r="G1" s="88"/>
      <c r="H1" s="88"/>
      <c r="I1" s="88"/>
      <c r="J1" s="88"/>
      <c r="K1" s="88"/>
      <c r="L1" s="88"/>
      <c r="M1" s="88"/>
      <c r="N1" s="88"/>
      <c r="O1" s="88"/>
      <c r="P1" s="88"/>
    </row>
    <row r="2" spans="1:20">
      <c r="A2" s="88"/>
      <c r="B2" s="88"/>
      <c r="C2" s="88"/>
      <c r="D2" s="88"/>
      <c r="E2" s="88"/>
      <c r="F2" s="88"/>
      <c r="G2" s="88"/>
      <c r="H2" s="88"/>
      <c r="I2" s="88"/>
      <c r="J2" s="88"/>
      <c r="K2" s="88"/>
      <c r="L2" s="88"/>
      <c r="M2" s="88"/>
      <c r="N2" s="88"/>
      <c r="O2" s="88"/>
      <c r="P2" s="88"/>
    </row>
    <row r="3" spans="1:20">
      <c r="A3" s="88"/>
      <c r="B3" s="88"/>
      <c r="C3" s="88"/>
      <c r="D3" s="88"/>
      <c r="E3" s="88"/>
      <c r="F3" s="88"/>
      <c r="G3" s="88"/>
      <c r="H3" s="88"/>
      <c r="I3" s="88"/>
      <c r="J3" s="88"/>
      <c r="K3" s="88"/>
      <c r="L3" s="88"/>
      <c r="M3" s="88"/>
      <c r="N3" s="88"/>
      <c r="O3" s="88"/>
      <c r="P3" s="88"/>
    </row>
    <row r="4" spans="1:20">
      <c r="A4" s="88"/>
      <c r="B4" s="88"/>
      <c r="C4" s="88"/>
      <c r="D4" s="88"/>
      <c r="E4" s="88"/>
      <c r="F4" s="88"/>
      <c r="G4" s="88"/>
      <c r="H4" s="88"/>
      <c r="I4" s="88"/>
      <c r="J4" s="88"/>
      <c r="K4" s="88"/>
      <c r="L4" s="88"/>
      <c r="M4" s="88"/>
      <c r="N4" s="88"/>
      <c r="O4" s="88"/>
      <c r="P4" s="88"/>
    </row>
    <row r="5" spans="1:20">
      <c r="A5" s="15"/>
      <c r="B5" s="15"/>
      <c r="C5" s="19"/>
      <c r="D5" s="19"/>
      <c r="E5" s="19"/>
      <c r="F5" s="19"/>
      <c r="G5" s="19"/>
      <c r="H5" s="19"/>
      <c r="I5" s="19"/>
      <c r="J5" s="19"/>
      <c r="K5" s="19"/>
      <c r="L5" s="19"/>
      <c r="M5" s="19"/>
      <c r="N5" s="19"/>
      <c r="O5" s="19"/>
      <c r="P5" s="19"/>
      <c r="Q5" s="19"/>
      <c r="R5" s="19"/>
      <c r="S5" s="19"/>
      <c r="T5" s="15"/>
    </row>
    <row r="6" spans="1:20">
      <c r="A6" s="15" t="s">
        <v>62</v>
      </c>
      <c r="B6" s="15"/>
      <c r="C6" s="20">
        <v>0.5</v>
      </c>
      <c r="D6" s="19" t="s">
        <v>65</v>
      </c>
      <c r="E6" s="21">
        <v>0.58333333333333337</v>
      </c>
      <c r="F6" s="19" t="s">
        <v>37</v>
      </c>
      <c r="G6" s="19" t="s">
        <v>38</v>
      </c>
      <c r="H6" s="21">
        <v>0.625</v>
      </c>
      <c r="I6" s="21">
        <v>0.66736111111111107</v>
      </c>
      <c r="J6" s="21">
        <v>0.66666666666666663</v>
      </c>
      <c r="K6" s="19" t="s">
        <v>40</v>
      </c>
      <c r="L6" s="21">
        <v>0.70833333333333337</v>
      </c>
      <c r="M6" s="21">
        <v>0.75069444444444444</v>
      </c>
      <c r="N6" s="21">
        <v>0.75</v>
      </c>
      <c r="O6" s="21">
        <v>0.79166666666666663</v>
      </c>
      <c r="P6" s="21">
        <v>0.83333333333333337</v>
      </c>
      <c r="Q6" s="21">
        <v>0.875</v>
      </c>
      <c r="R6" s="21">
        <v>0.91666666666666663</v>
      </c>
      <c r="S6" s="21">
        <v>0.95833333333333337</v>
      </c>
      <c r="T6" s="15" t="s">
        <v>61</v>
      </c>
    </row>
    <row r="7" spans="1:20">
      <c r="A7" s="17" t="s">
        <v>58</v>
      </c>
      <c r="B7" s="15">
        <v>1</v>
      </c>
      <c r="C7" s="15">
        <v>0</v>
      </c>
      <c r="D7" s="15">
        <v>0</v>
      </c>
      <c r="E7" s="15">
        <v>0</v>
      </c>
      <c r="F7" s="15">
        <v>25</v>
      </c>
      <c r="G7" s="15">
        <v>11</v>
      </c>
      <c r="H7" s="15">
        <v>5</v>
      </c>
      <c r="I7" s="15">
        <v>2</v>
      </c>
      <c r="J7" s="15">
        <v>4</v>
      </c>
      <c r="K7" s="15">
        <v>5</v>
      </c>
      <c r="L7" s="15">
        <v>4</v>
      </c>
      <c r="M7" s="15">
        <v>0</v>
      </c>
      <c r="N7" s="15">
        <v>1</v>
      </c>
      <c r="O7" s="15">
        <v>1</v>
      </c>
      <c r="P7" s="15">
        <v>5</v>
      </c>
      <c r="Q7" s="15">
        <v>11</v>
      </c>
      <c r="R7" s="15">
        <v>13</v>
      </c>
      <c r="S7" s="15">
        <v>13</v>
      </c>
      <c r="T7" s="15">
        <f t="shared" ref="T7:T15" si="0">SUM(C7:S7)</f>
        <v>100</v>
      </c>
    </row>
    <row r="8" spans="1:20">
      <c r="A8" s="17" t="s">
        <v>57</v>
      </c>
      <c r="B8" s="15">
        <v>2</v>
      </c>
      <c r="C8" s="15">
        <v>0</v>
      </c>
      <c r="D8" s="15">
        <v>0</v>
      </c>
      <c r="E8" s="15">
        <v>1</v>
      </c>
      <c r="F8" s="15">
        <v>17</v>
      </c>
      <c r="G8" s="15">
        <v>10</v>
      </c>
      <c r="H8" s="15">
        <v>12</v>
      </c>
      <c r="I8" s="15">
        <v>2</v>
      </c>
      <c r="J8" s="15">
        <v>3</v>
      </c>
      <c r="K8" s="15">
        <v>3</v>
      </c>
      <c r="L8" s="15">
        <v>1</v>
      </c>
      <c r="M8" s="15">
        <v>0</v>
      </c>
      <c r="N8" s="15">
        <v>0</v>
      </c>
      <c r="O8" s="15">
        <v>5</v>
      </c>
      <c r="P8" s="15">
        <v>7</v>
      </c>
      <c r="Q8" s="15">
        <v>12</v>
      </c>
      <c r="R8" s="15">
        <v>13</v>
      </c>
      <c r="S8" s="15">
        <v>14</v>
      </c>
      <c r="T8" s="15">
        <f t="shared" si="0"/>
        <v>100</v>
      </c>
    </row>
    <row r="9" spans="1:20">
      <c r="A9" s="17"/>
      <c r="B9" s="15">
        <v>3</v>
      </c>
      <c r="C9" s="15">
        <v>1</v>
      </c>
      <c r="D9" s="15">
        <v>0</v>
      </c>
      <c r="E9" s="15">
        <v>3</v>
      </c>
      <c r="F9" s="15">
        <v>40</v>
      </c>
      <c r="G9" s="15">
        <v>16</v>
      </c>
      <c r="H9" s="15">
        <v>6</v>
      </c>
      <c r="I9" s="15">
        <v>0</v>
      </c>
      <c r="J9" s="15">
        <v>8</v>
      </c>
      <c r="K9" s="15">
        <v>5</v>
      </c>
      <c r="L9" s="15">
        <v>2</v>
      </c>
      <c r="M9" s="15">
        <v>2</v>
      </c>
      <c r="N9" s="15">
        <v>2</v>
      </c>
      <c r="O9" s="15">
        <v>2</v>
      </c>
      <c r="P9" s="15">
        <v>2</v>
      </c>
      <c r="Q9" s="15">
        <v>2</v>
      </c>
      <c r="R9" s="15">
        <v>6</v>
      </c>
      <c r="S9" s="15">
        <v>3</v>
      </c>
      <c r="T9" s="15">
        <f t="shared" si="0"/>
        <v>100</v>
      </c>
    </row>
    <row r="10" spans="1:20">
      <c r="A10" s="17"/>
      <c r="B10" s="15">
        <v>4</v>
      </c>
      <c r="C10" s="15">
        <v>1</v>
      </c>
      <c r="D10" s="15">
        <v>0</v>
      </c>
      <c r="E10" s="15">
        <v>1</v>
      </c>
      <c r="F10" s="15">
        <v>41</v>
      </c>
      <c r="G10" s="15">
        <v>17</v>
      </c>
      <c r="H10" s="15">
        <v>14</v>
      </c>
      <c r="I10" s="15">
        <v>5</v>
      </c>
      <c r="J10" s="15">
        <v>3</v>
      </c>
      <c r="K10" s="15">
        <v>3</v>
      </c>
      <c r="L10" s="15">
        <v>3</v>
      </c>
      <c r="M10" s="15">
        <v>1</v>
      </c>
      <c r="N10" s="15">
        <v>1</v>
      </c>
      <c r="O10" s="15">
        <v>1</v>
      </c>
      <c r="P10" s="15">
        <v>1</v>
      </c>
      <c r="Q10" s="15">
        <v>5</v>
      </c>
      <c r="R10" s="15">
        <v>3</v>
      </c>
      <c r="S10" s="15">
        <v>0</v>
      </c>
      <c r="T10" s="15">
        <f t="shared" si="0"/>
        <v>100</v>
      </c>
    </row>
    <row r="11" spans="1:20">
      <c r="A11" s="17"/>
      <c r="B11" s="15">
        <v>5</v>
      </c>
      <c r="C11" s="15">
        <v>2</v>
      </c>
      <c r="D11" s="15">
        <v>1</v>
      </c>
      <c r="E11" s="15">
        <v>2</v>
      </c>
      <c r="F11" s="15">
        <v>32</v>
      </c>
      <c r="G11" s="15">
        <v>8</v>
      </c>
      <c r="H11" s="15">
        <v>13</v>
      </c>
      <c r="I11" s="15">
        <v>1</v>
      </c>
      <c r="J11" s="15">
        <v>9</v>
      </c>
      <c r="K11" s="15">
        <v>4</v>
      </c>
      <c r="L11" s="15">
        <v>1</v>
      </c>
      <c r="M11" s="15">
        <v>1</v>
      </c>
      <c r="N11" s="15">
        <v>2</v>
      </c>
      <c r="O11" s="15">
        <v>0</v>
      </c>
      <c r="P11" s="15">
        <v>4</v>
      </c>
      <c r="Q11" s="15">
        <v>7</v>
      </c>
      <c r="R11" s="15">
        <v>12</v>
      </c>
      <c r="S11" s="15">
        <v>1</v>
      </c>
      <c r="T11" s="15">
        <f t="shared" si="0"/>
        <v>100</v>
      </c>
    </row>
    <row r="12" spans="1:20">
      <c r="A12" s="17"/>
      <c r="B12" s="15">
        <v>6</v>
      </c>
      <c r="C12" s="15">
        <v>1</v>
      </c>
      <c r="D12" s="15">
        <v>1</v>
      </c>
      <c r="E12" s="15">
        <v>1</v>
      </c>
      <c r="F12" s="15">
        <v>38</v>
      </c>
      <c r="G12" s="15">
        <v>16</v>
      </c>
      <c r="H12" s="15">
        <v>15</v>
      </c>
      <c r="I12" s="15">
        <v>1</v>
      </c>
      <c r="J12" s="15">
        <v>2</v>
      </c>
      <c r="K12" s="15">
        <v>10</v>
      </c>
      <c r="L12" s="15">
        <v>4</v>
      </c>
      <c r="M12" s="15">
        <v>1</v>
      </c>
      <c r="N12" s="15">
        <v>1</v>
      </c>
      <c r="O12" s="15">
        <v>0</v>
      </c>
      <c r="P12" s="15">
        <v>1</v>
      </c>
      <c r="Q12" s="15">
        <v>3</v>
      </c>
      <c r="R12" s="15">
        <v>4</v>
      </c>
      <c r="S12" s="15">
        <v>1</v>
      </c>
      <c r="T12" s="15">
        <f t="shared" si="0"/>
        <v>100</v>
      </c>
    </row>
    <row r="13" spans="1:20">
      <c r="A13" s="17" t="s">
        <v>39</v>
      </c>
      <c r="B13" s="15">
        <v>1</v>
      </c>
      <c r="C13" s="15">
        <v>0</v>
      </c>
      <c r="D13" s="15">
        <v>0</v>
      </c>
      <c r="E13" s="15">
        <v>3</v>
      </c>
      <c r="F13" s="15">
        <v>24</v>
      </c>
      <c r="G13" s="15">
        <v>15</v>
      </c>
      <c r="H13" s="15">
        <v>11</v>
      </c>
      <c r="I13" s="15">
        <v>1</v>
      </c>
      <c r="J13" s="15">
        <v>6</v>
      </c>
      <c r="K13" s="15">
        <v>1</v>
      </c>
      <c r="L13" s="15">
        <v>1</v>
      </c>
      <c r="M13" s="15">
        <v>1</v>
      </c>
      <c r="N13" s="15">
        <v>2</v>
      </c>
      <c r="O13" s="15">
        <v>4</v>
      </c>
      <c r="P13" s="15">
        <v>6</v>
      </c>
      <c r="Q13" s="15">
        <v>7</v>
      </c>
      <c r="R13" s="15">
        <v>18</v>
      </c>
      <c r="S13" s="15">
        <v>0</v>
      </c>
      <c r="T13" s="15">
        <f t="shared" si="0"/>
        <v>100</v>
      </c>
    </row>
    <row r="14" spans="1:20">
      <c r="A14" s="17" t="s">
        <v>57</v>
      </c>
      <c r="B14" s="15">
        <v>2</v>
      </c>
      <c r="C14" s="15">
        <v>1</v>
      </c>
      <c r="D14" s="15">
        <v>1</v>
      </c>
      <c r="E14" s="15">
        <v>5</v>
      </c>
      <c r="F14" s="15">
        <v>28</v>
      </c>
      <c r="G14" s="15">
        <v>12</v>
      </c>
      <c r="H14" s="15">
        <v>27</v>
      </c>
      <c r="I14" s="15">
        <v>1</v>
      </c>
      <c r="J14" s="15">
        <v>6</v>
      </c>
      <c r="K14" s="15">
        <v>4</v>
      </c>
      <c r="L14" s="15">
        <v>3</v>
      </c>
      <c r="M14" s="15">
        <v>1</v>
      </c>
      <c r="N14" s="15">
        <v>1</v>
      </c>
      <c r="O14" s="15">
        <v>1</v>
      </c>
      <c r="P14" s="15">
        <v>1</v>
      </c>
      <c r="Q14" s="15">
        <v>3</v>
      </c>
      <c r="R14" s="15">
        <v>5</v>
      </c>
      <c r="S14" s="15">
        <v>0</v>
      </c>
      <c r="T14" s="15">
        <f t="shared" si="0"/>
        <v>100</v>
      </c>
    </row>
    <row r="15" spans="1:20">
      <c r="A15" s="15" t="s">
        <v>41</v>
      </c>
      <c r="B15" s="15">
        <f t="shared" ref="B15:S15" si="1">AVERAGE(B7:B14)</f>
        <v>3</v>
      </c>
      <c r="C15" s="15">
        <f t="shared" si="1"/>
        <v>0.75</v>
      </c>
      <c r="D15" s="15">
        <f t="shared" si="1"/>
        <v>0.375</v>
      </c>
      <c r="E15" s="15">
        <f t="shared" si="1"/>
        <v>2</v>
      </c>
      <c r="F15" s="15">
        <f t="shared" si="1"/>
        <v>30.625</v>
      </c>
      <c r="G15" s="15">
        <f t="shared" si="1"/>
        <v>13.125</v>
      </c>
      <c r="H15" s="15">
        <f t="shared" si="1"/>
        <v>12.875</v>
      </c>
      <c r="I15" s="15">
        <f t="shared" si="1"/>
        <v>1.625</v>
      </c>
      <c r="J15" s="15">
        <f t="shared" si="1"/>
        <v>5.125</v>
      </c>
      <c r="K15" s="15">
        <f t="shared" si="1"/>
        <v>4.375</v>
      </c>
      <c r="L15" s="15">
        <f t="shared" si="1"/>
        <v>2.375</v>
      </c>
      <c r="M15" s="15">
        <f t="shared" si="1"/>
        <v>0.875</v>
      </c>
      <c r="N15" s="15">
        <f t="shared" si="1"/>
        <v>1.25</v>
      </c>
      <c r="O15" s="15">
        <f t="shared" si="1"/>
        <v>1.75</v>
      </c>
      <c r="P15" s="15">
        <f t="shared" si="1"/>
        <v>3.375</v>
      </c>
      <c r="Q15" s="15">
        <f t="shared" si="1"/>
        <v>6.25</v>
      </c>
      <c r="R15" s="15">
        <f t="shared" si="1"/>
        <v>9.25</v>
      </c>
      <c r="S15" s="15">
        <f t="shared" si="1"/>
        <v>4</v>
      </c>
      <c r="T15" s="15">
        <f t="shared" si="0"/>
        <v>100</v>
      </c>
    </row>
    <row r="16" spans="1:20">
      <c r="A16" s="15"/>
      <c r="B16" s="15"/>
      <c r="C16" s="15"/>
      <c r="D16" s="15"/>
      <c r="E16" s="15"/>
      <c r="F16" s="15"/>
      <c r="G16" s="15"/>
      <c r="H16" s="15"/>
      <c r="I16" s="15"/>
      <c r="J16" s="15"/>
      <c r="K16" s="15"/>
      <c r="L16" s="15"/>
      <c r="M16" s="15"/>
      <c r="N16" s="15"/>
      <c r="O16" s="15"/>
      <c r="P16" s="15"/>
      <c r="Q16" s="15"/>
      <c r="R16" s="15"/>
      <c r="S16" s="15"/>
      <c r="T16" s="15"/>
    </row>
    <row r="17" spans="1:20">
      <c r="A17" s="18" t="s">
        <v>59</v>
      </c>
      <c r="B17" s="15">
        <v>1</v>
      </c>
      <c r="C17" s="15">
        <v>0</v>
      </c>
      <c r="D17" s="15">
        <v>0</v>
      </c>
      <c r="E17" s="15">
        <v>2</v>
      </c>
      <c r="F17" s="15">
        <v>9</v>
      </c>
      <c r="G17" s="15">
        <v>35</v>
      </c>
      <c r="H17" s="15">
        <v>1</v>
      </c>
      <c r="I17" s="15">
        <v>1</v>
      </c>
      <c r="J17" s="15">
        <v>4</v>
      </c>
      <c r="K17" s="15">
        <v>2</v>
      </c>
      <c r="L17" s="15">
        <v>1</v>
      </c>
      <c r="M17" s="15">
        <v>0</v>
      </c>
      <c r="N17" s="15">
        <v>0</v>
      </c>
      <c r="O17" s="15">
        <v>1</v>
      </c>
      <c r="P17" s="15">
        <v>14</v>
      </c>
      <c r="Q17" s="15">
        <v>8</v>
      </c>
      <c r="R17" s="15">
        <v>11</v>
      </c>
      <c r="S17" s="15">
        <v>11</v>
      </c>
      <c r="T17" s="15">
        <f t="shared" ref="T17:T38" si="2">SUM(C17:S17)</f>
        <v>100</v>
      </c>
    </row>
    <row r="18" spans="1:20">
      <c r="B18" s="15">
        <v>2</v>
      </c>
      <c r="C18" s="15">
        <v>1</v>
      </c>
      <c r="D18" s="15">
        <v>1</v>
      </c>
      <c r="E18" s="15">
        <v>2</v>
      </c>
      <c r="F18" s="15">
        <v>7</v>
      </c>
      <c r="G18" s="15">
        <v>39</v>
      </c>
      <c r="H18" s="15">
        <v>4</v>
      </c>
      <c r="I18" s="15">
        <v>1</v>
      </c>
      <c r="J18" s="15">
        <v>6</v>
      </c>
      <c r="K18" s="15">
        <v>9</v>
      </c>
      <c r="L18" s="15">
        <v>6</v>
      </c>
      <c r="M18" s="15">
        <v>2</v>
      </c>
      <c r="N18" s="15">
        <v>2</v>
      </c>
      <c r="O18" s="15">
        <v>1</v>
      </c>
      <c r="P18" s="15">
        <v>5</v>
      </c>
      <c r="Q18" s="15">
        <v>3</v>
      </c>
      <c r="R18" s="15">
        <v>8</v>
      </c>
      <c r="S18" s="15">
        <v>3</v>
      </c>
      <c r="T18" s="15">
        <f t="shared" si="2"/>
        <v>100</v>
      </c>
    </row>
    <row r="19" spans="1:20">
      <c r="B19" s="15">
        <v>3</v>
      </c>
      <c r="C19" s="15">
        <v>1</v>
      </c>
      <c r="D19" s="15">
        <v>0</v>
      </c>
      <c r="E19" s="15">
        <v>2</v>
      </c>
      <c r="F19" s="15">
        <v>7</v>
      </c>
      <c r="G19" s="15">
        <v>43</v>
      </c>
      <c r="H19" s="15">
        <v>4</v>
      </c>
      <c r="I19" s="15">
        <v>1</v>
      </c>
      <c r="J19" s="15">
        <v>4</v>
      </c>
      <c r="K19" s="15">
        <v>10</v>
      </c>
      <c r="L19" s="15">
        <v>4</v>
      </c>
      <c r="M19" s="15">
        <v>3</v>
      </c>
      <c r="N19" s="15">
        <v>4</v>
      </c>
      <c r="O19" s="15">
        <v>2</v>
      </c>
      <c r="P19" s="15">
        <v>3</v>
      </c>
      <c r="Q19" s="15">
        <v>3</v>
      </c>
      <c r="R19" s="15">
        <v>5</v>
      </c>
      <c r="S19" s="15">
        <v>4</v>
      </c>
      <c r="T19" s="15">
        <f t="shared" si="2"/>
        <v>100</v>
      </c>
    </row>
    <row r="20" spans="1:20">
      <c r="B20" s="15">
        <v>4</v>
      </c>
      <c r="C20" s="15">
        <v>1</v>
      </c>
      <c r="D20" s="15">
        <v>0</v>
      </c>
      <c r="E20" s="15">
        <v>1</v>
      </c>
      <c r="F20" s="15">
        <v>5</v>
      </c>
      <c r="G20" s="15">
        <v>47</v>
      </c>
      <c r="H20" s="15">
        <v>6</v>
      </c>
      <c r="I20" s="15">
        <v>0</v>
      </c>
      <c r="J20" s="15">
        <v>6</v>
      </c>
      <c r="K20" s="15">
        <v>16</v>
      </c>
      <c r="L20" s="15">
        <v>3</v>
      </c>
      <c r="M20" s="15">
        <v>2</v>
      </c>
      <c r="N20" s="15">
        <v>3</v>
      </c>
      <c r="O20" s="15">
        <v>0</v>
      </c>
      <c r="P20" s="15">
        <v>2</v>
      </c>
      <c r="Q20" s="15">
        <v>3</v>
      </c>
      <c r="R20" s="15">
        <v>4</v>
      </c>
      <c r="S20" s="15">
        <v>1</v>
      </c>
      <c r="T20" s="15">
        <f t="shared" si="2"/>
        <v>100</v>
      </c>
    </row>
    <row r="21" spans="1:20">
      <c r="B21" s="15">
        <v>5</v>
      </c>
      <c r="C21" s="15">
        <v>0</v>
      </c>
      <c r="D21" s="15">
        <v>0</v>
      </c>
      <c r="E21" s="15">
        <v>1</v>
      </c>
      <c r="F21" s="15">
        <v>4</v>
      </c>
      <c r="G21" s="15">
        <v>39</v>
      </c>
      <c r="H21" s="15">
        <v>5</v>
      </c>
      <c r="I21" s="15">
        <v>1</v>
      </c>
      <c r="J21" s="15">
        <v>3</v>
      </c>
      <c r="K21" s="15">
        <v>14</v>
      </c>
      <c r="L21" s="15">
        <v>3</v>
      </c>
      <c r="M21" s="15">
        <v>2</v>
      </c>
      <c r="N21" s="15">
        <v>2</v>
      </c>
      <c r="O21" s="15">
        <v>2</v>
      </c>
      <c r="P21" s="15">
        <v>4</v>
      </c>
      <c r="Q21" s="15">
        <v>4</v>
      </c>
      <c r="R21" s="15">
        <v>9</v>
      </c>
      <c r="S21" s="15">
        <v>7</v>
      </c>
      <c r="T21" s="15">
        <f t="shared" si="2"/>
        <v>100</v>
      </c>
    </row>
    <row r="22" spans="1:20">
      <c r="B22" s="15">
        <v>6</v>
      </c>
      <c r="C22" s="15">
        <v>1</v>
      </c>
      <c r="D22" s="15">
        <v>0</v>
      </c>
      <c r="E22" s="15">
        <v>2</v>
      </c>
      <c r="F22" s="15">
        <v>2</v>
      </c>
      <c r="G22" s="15">
        <v>48</v>
      </c>
      <c r="H22" s="15">
        <v>7</v>
      </c>
      <c r="I22" s="15">
        <v>1</v>
      </c>
      <c r="J22" s="15">
        <v>7</v>
      </c>
      <c r="K22" s="15">
        <v>12</v>
      </c>
      <c r="L22" s="15">
        <v>3</v>
      </c>
      <c r="M22" s="15">
        <v>4</v>
      </c>
      <c r="N22" s="15">
        <v>3</v>
      </c>
      <c r="O22" s="15">
        <v>2</v>
      </c>
      <c r="P22" s="15">
        <v>1</v>
      </c>
      <c r="Q22" s="15">
        <v>3</v>
      </c>
      <c r="R22" s="15">
        <v>2</v>
      </c>
      <c r="S22" s="15">
        <v>2</v>
      </c>
      <c r="T22" s="15">
        <f t="shared" si="2"/>
        <v>100</v>
      </c>
    </row>
    <row r="23" spans="1:20">
      <c r="B23" s="15">
        <v>7</v>
      </c>
      <c r="C23" s="15">
        <v>0</v>
      </c>
      <c r="D23" s="15">
        <v>0</v>
      </c>
      <c r="E23" s="15">
        <v>1</v>
      </c>
      <c r="F23" s="15">
        <v>3</v>
      </c>
      <c r="G23" s="15">
        <v>37</v>
      </c>
      <c r="H23" s="15">
        <v>3</v>
      </c>
      <c r="I23" s="15">
        <v>1</v>
      </c>
      <c r="J23" s="15">
        <v>6</v>
      </c>
      <c r="K23" s="15">
        <v>7</v>
      </c>
      <c r="L23" s="15">
        <v>1</v>
      </c>
      <c r="M23" s="15">
        <v>1</v>
      </c>
      <c r="N23" s="15">
        <v>1</v>
      </c>
      <c r="O23" s="15">
        <v>6</v>
      </c>
      <c r="P23" s="15">
        <v>8</v>
      </c>
      <c r="Q23" s="15">
        <v>15</v>
      </c>
      <c r="R23" s="15">
        <v>5</v>
      </c>
      <c r="S23" s="15">
        <v>5</v>
      </c>
      <c r="T23" s="15">
        <f t="shared" si="2"/>
        <v>100</v>
      </c>
    </row>
    <row r="24" spans="1:20">
      <c r="B24" s="15">
        <v>8</v>
      </c>
      <c r="C24" s="15">
        <v>0</v>
      </c>
      <c r="D24" s="15">
        <v>0</v>
      </c>
      <c r="E24" s="15">
        <v>1</v>
      </c>
      <c r="F24" s="15">
        <v>4</v>
      </c>
      <c r="G24" s="15">
        <v>34</v>
      </c>
      <c r="H24" s="15">
        <v>5</v>
      </c>
      <c r="I24" s="15">
        <v>1</v>
      </c>
      <c r="J24" s="15">
        <v>6</v>
      </c>
      <c r="K24" s="15">
        <v>11</v>
      </c>
      <c r="L24" s="15">
        <v>8</v>
      </c>
      <c r="M24" s="15">
        <v>6</v>
      </c>
      <c r="N24" s="15">
        <v>5</v>
      </c>
      <c r="O24" s="15">
        <v>1</v>
      </c>
      <c r="P24" s="15">
        <v>1</v>
      </c>
      <c r="Q24" s="15">
        <v>3</v>
      </c>
      <c r="R24" s="15">
        <v>11</v>
      </c>
      <c r="S24" s="15">
        <v>3</v>
      </c>
      <c r="T24" s="15">
        <f t="shared" si="2"/>
        <v>100</v>
      </c>
    </row>
    <row r="25" spans="1:20">
      <c r="B25" s="15">
        <v>9</v>
      </c>
      <c r="C25" s="15">
        <v>0</v>
      </c>
      <c r="D25" s="15">
        <v>0</v>
      </c>
      <c r="E25" s="15">
        <v>3</v>
      </c>
      <c r="F25" s="15">
        <v>2</v>
      </c>
      <c r="G25" s="15">
        <v>39</v>
      </c>
      <c r="H25" s="15">
        <v>2</v>
      </c>
      <c r="I25" s="15">
        <v>1</v>
      </c>
      <c r="J25" s="15">
        <v>7</v>
      </c>
      <c r="K25" s="15">
        <v>9</v>
      </c>
      <c r="L25" s="15">
        <v>2</v>
      </c>
      <c r="M25" s="15">
        <v>1</v>
      </c>
      <c r="N25" s="15">
        <v>2</v>
      </c>
      <c r="O25" s="15">
        <v>2</v>
      </c>
      <c r="P25" s="15">
        <v>5</v>
      </c>
      <c r="Q25" s="15">
        <v>8</v>
      </c>
      <c r="R25" s="15">
        <v>17</v>
      </c>
      <c r="S25" s="15">
        <v>0</v>
      </c>
      <c r="T25" s="15">
        <f t="shared" si="2"/>
        <v>100</v>
      </c>
    </row>
    <row r="26" spans="1:20">
      <c r="B26" s="15">
        <v>10</v>
      </c>
      <c r="C26" s="15">
        <v>1</v>
      </c>
      <c r="D26" s="15">
        <v>0</v>
      </c>
      <c r="E26" s="15">
        <v>5</v>
      </c>
      <c r="F26" s="15">
        <v>5</v>
      </c>
      <c r="G26" s="15">
        <v>47</v>
      </c>
      <c r="H26" s="15">
        <v>5</v>
      </c>
      <c r="I26" s="15">
        <v>0</v>
      </c>
      <c r="J26" s="15">
        <v>2</v>
      </c>
      <c r="K26" s="15">
        <v>10</v>
      </c>
      <c r="L26" s="15">
        <v>2</v>
      </c>
      <c r="M26" s="15">
        <v>4</v>
      </c>
      <c r="N26" s="15">
        <v>5</v>
      </c>
      <c r="O26" s="15">
        <v>0</v>
      </c>
      <c r="P26" s="15">
        <v>4</v>
      </c>
      <c r="Q26" s="15">
        <v>4</v>
      </c>
      <c r="R26" s="15">
        <v>3</v>
      </c>
      <c r="S26" s="15">
        <v>3</v>
      </c>
      <c r="T26" s="15">
        <f t="shared" si="2"/>
        <v>100</v>
      </c>
    </row>
    <row r="27" spans="1:20">
      <c r="B27" s="15">
        <v>11</v>
      </c>
      <c r="C27" s="15">
        <v>1</v>
      </c>
      <c r="D27" s="15">
        <v>0</v>
      </c>
      <c r="E27" s="15">
        <v>1</v>
      </c>
      <c r="F27" s="15">
        <v>8</v>
      </c>
      <c r="G27" s="15">
        <v>48</v>
      </c>
      <c r="H27" s="15">
        <v>4</v>
      </c>
      <c r="I27" s="15">
        <v>1</v>
      </c>
      <c r="J27" s="15">
        <v>6</v>
      </c>
      <c r="K27" s="15">
        <v>20</v>
      </c>
      <c r="L27" s="15">
        <v>2</v>
      </c>
      <c r="M27" s="15">
        <v>2</v>
      </c>
      <c r="N27" s="15">
        <v>2</v>
      </c>
      <c r="O27" s="15">
        <v>0</v>
      </c>
      <c r="P27" s="15">
        <v>1</v>
      </c>
      <c r="Q27" s="15">
        <v>2</v>
      </c>
      <c r="R27" s="15">
        <v>2</v>
      </c>
      <c r="S27" s="15">
        <v>0</v>
      </c>
      <c r="T27" s="15">
        <f t="shared" si="2"/>
        <v>100</v>
      </c>
    </row>
    <row r="28" spans="1:20">
      <c r="B28" s="15">
        <v>12</v>
      </c>
      <c r="C28" s="15">
        <v>2</v>
      </c>
      <c r="D28" s="15">
        <v>2</v>
      </c>
      <c r="E28" s="15">
        <v>2</v>
      </c>
      <c r="F28" s="15">
        <v>4</v>
      </c>
      <c r="G28" s="15">
        <v>39</v>
      </c>
      <c r="H28" s="15">
        <v>2</v>
      </c>
      <c r="I28" s="15">
        <v>2</v>
      </c>
      <c r="J28" s="15">
        <v>10</v>
      </c>
      <c r="K28" s="15">
        <v>16</v>
      </c>
      <c r="L28" s="15">
        <v>4</v>
      </c>
      <c r="M28" s="15">
        <v>2</v>
      </c>
      <c r="N28" s="15">
        <v>4</v>
      </c>
      <c r="O28" s="15">
        <v>0</v>
      </c>
      <c r="P28" s="15">
        <v>1</v>
      </c>
      <c r="Q28" s="15">
        <v>10</v>
      </c>
      <c r="R28" s="15">
        <v>0</v>
      </c>
      <c r="S28" s="15">
        <v>0</v>
      </c>
      <c r="T28" s="15">
        <f t="shared" si="2"/>
        <v>100</v>
      </c>
    </row>
    <row r="29" spans="1:20">
      <c r="B29" s="15">
        <v>13</v>
      </c>
      <c r="C29" s="15">
        <v>1</v>
      </c>
      <c r="D29" s="15">
        <v>2</v>
      </c>
      <c r="E29" s="15">
        <v>2</v>
      </c>
      <c r="F29" s="15">
        <v>2</v>
      </c>
      <c r="G29" s="15">
        <v>48</v>
      </c>
      <c r="H29" s="15">
        <v>2</v>
      </c>
      <c r="I29" s="15">
        <v>2</v>
      </c>
      <c r="J29" s="15">
        <v>8</v>
      </c>
      <c r="K29" s="15">
        <v>2</v>
      </c>
      <c r="L29" s="15">
        <v>1</v>
      </c>
      <c r="M29" s="15">
        <v>3</v>
      </c>
      <c r="N29" s="15">
        <v>4</v>
      </c>
      <c r="O29" s="15">
        <v>12</v>
      </c>
      <c r="P29" s="15">
        <v>1</v>
      </c>
      <c r="Q29" s="15">
        <v>9</v>
      </c>
      <c r="R29" s="15">
        <v>1</v>
      </c>
      <c r="S29" s="15">
        <v>0</v>
      </c>
      <c r="T29" s="15">
        <f t="shared" si="2"/>
        <v>100</v>
      </c>
    </row>
    <row r="30" spans="1:20">
      <c r="B30" s="15">
        <v>14</v>
      </c>
      <c r="C30" s="15">
        <v>1</v>
      </c>
      <c r="D30" s="15">
        <v>1</v>
      </c>
      <c r="E30" s="15">
        <v>4</v>
      </c>
      <c r="F30" s="15">
        <v>2</v>
      </c>
      <c r="G30" s="15">
        <v>38</v>
      </c>
      <c r="H30" s="15">
        <v>1</v>
      </c>
      <c r="I30" s="15">
        <v>1</v>
      </c>
      <c r="J30" s="15">
        <v>14</v>
      </c>
      <c r="K30" s="15">
        <v>4</v>
      </c>
      <c r="L30" s="15">
        <v>6</v>
      </c>
      <c r="M30" s="15">
        <v>4</v>
      </c>
      <c r="N30" s="15">
        <v>3</v>
      </c>
      <c r="O30" s="15">
        <v>0</v>
      </c>
      <c r="P30" s="15">
        <v>2</v>
      </c>
      <c r="Q30" s="15">
        <v>18</v>
      </c>
      <c r="R30" s="15">
        <v>1</v>
      </c>
      <c r="S30" s="15">
        <v>0</v>
      </c>
      <c r="T30" s="15">
        <f t="shared" si="2"/>
        <v>100</v>
      </c>
    </row>
    <row r="31" spans="1:20">
      <c r="B31" s="15">
        <v>15</v>
      </c>
      <c r="C31" s="15">
        <v>1</v>
      </c>
      <c r="D31" s="15">
        <v>0</v>
      </c>
      <c r="E31" s="15">
        <v>2</v>
      </c>
      <c r="F31" s="15">
        <v>3</v>
      </c>
      <c r="G31" s="15">
        <v>57</v>
      </c>
      <c r="H31" s="15">
        <v>10</v>
      </c>
      <c r="I31" s="15">
        <v>2</v>
      </c>
      <c r="J31" s="15">
        <v>7</v>
      </c>
      <c r="K31" s="15">
        <v>7</v>
      </c>
      <c r="L31" s="15">
        <v>2</v>
      </c>
      <c r="M31" s="15">
        <v>4</v>
      </c>
      <c r="N31" s="15">
        <v>2</v>
      </c>
      <c r="O31" s="15">
        <v>0</v>
      </c>
      <c r="P31" s="15">
        <v>1</v>
      </c>
      <c r="Q31" s="15">
        <v>1</v>
      </c>
      <c r="R31" s="15">
        <v>1</v>
      </c>
      <c r="S31" s="15">
        <v>0</v>
      </c>
      <c r="T31" s="15">
        <f t="shared" si="2"/>
        <v>100</v>
      </c>
    </row>
    <row r="32" spans="1:20">
      <c r="B32" s="1" t="s">
        <v>41</v>
      </c>
      <c r="C32">
        <f t="shared" ref="C32:S32" si="3">AVERAGE(C17:C30)</f>
        <v>0.7142857142857143</v>
      </c>
      <c r="D32">
        <f t="shared" si="3"/>
        <v>0.42857142857142855</v>
      </c>
      <c r="E32">
        <f t="shared" si="3"/>
        <v>2.0714285714285716</v>
      </c>
      <c r="F32">
        <f t="shared" si="3"/>
        <v>4.5714285714285712</v>
      </c>
      <c r="G32">
        <f t="shared" si="3"/>
        <v>41.5</v>
      </c>
      <c r="H32">
        <f t="shared" si="3"/>
        <v>3.6428571428571428</v>
      </c>
      <c r="I32">
        <f t="shared" si="3"/>
        <v>1</v>
      </c>
      <c r="J32">
        <f t="shared" si="3"/>
        <v>6.3571428571428568</v>
      </c>
      <c r="K32">
        <f t="shared" si="3"/>
        <v>10.142857142857142</v>
      </c>
      <c r="L32">
        <f t="shared" si="3"/>
        <v>3.2857142857142856</v>
      </c>
      <c r="M32">
        <f t="shared" si="3"/>
        <v>2.5714285714285716</v>
      </c>
      <c r="N32">
        <f t="shared" si="3"/>
        <v>2.8571428571428572</v>
      </c>
      <c r="O32">
        <f t="shared" si="3"/>
        <v>2.0714285714285716</v>
      </c>
      <c r="P32">
        <f t="shared" si="3"/>
        <v>3.7142857142857144</v>
      </c>
      <c r="Q32">
        <f t="shared" si="3"/>
        <v>6.6428571428571432</v>
      </c>
      <c r="R32">
        <f t="shared" si="3"/>
        <v>5.6428571428571432</v>
      </c>
      <c r="S32">
        <f t="shared" si="3"/>
        <v>2.7857142857142856</v>
      </c>
      <c r="T32" s="15">
        <f t="shared" si="2"/>
        <v>100</v>
      </c>
    </row>
    <row r="33" spans="1:20">
      <c r="A33" s="18" t="s">
        <v>60</v>
      </c>
      <c r="B33" s="15">
        <v>1</v>
      </c>
      <c r="C33" s="15">
        <v>0</v>
      </c>
      <c r="D33" s="15">
        <v>0</v>
      </c>
      <c r="E33" s="15">
        <v>1</v>
      </c>
      <c r="F33" s="15">
        <v>23</v>
      </c>
      <c r="G33" s="15">
        <v>15</v>
      </c>
      <c r="H33" s="15">
        <v>1</v>
      </c>
      <c r="I33" s="15">
        <v>0</v>
      </c>
      <c r="J33" s="15">
        <v>4</v>
      </c>
      <c r="K33" s="15">
        <v>1</v>
      </c>
      <c r="L33" s="15">
        <v>1</v>
      </c>
      <c r="M33" s="15">
        <v>1</v>
      </c>
      <c r="N33" s="15">
        <v>1</v>
      </c>
      <c r="O33" s="15">
        <v>9</v>
      </c>
      <c r="P33" s="15">
        <v>11</v>
      </c>
      <c r="Q33" s="15">
        <v>13</v>
      </c>
      <c r="R33" s="15">
        <v>10</v>
      </c>
      <c r="S33" s="15">
        <v>9</v>
      </c>
      <c r="T33" s="15">
        <f t="shared" si="2"/>
        <v>100</v>
      </c>
    </row>
    <row r="34" spans="1:20">
      <c r="B34" s="15">
        <v>2</v>
      </c>
      <c r="C34" s="15">
        <v>0</v>
      </c>
      <c r="D34" s="15">
        <v>0</v>
      </c>
      <c r="E34" s="15">
        <v>2</v>
      </c>
      <c r="F34" s="15">
        <v>30</v>
      </c>
      <c r="G34" s="15">
        <v>19</v>
      </c>
      <c r="H34" s="15">
        <v>4</v>
      </c>
      <c r="I34" s="15">
        <v>1</v>
      </c>
      <c r="J34" s="15">
        <v>7</v>
      </c>
      <c r="K34" s="15">
        <v>3</v>
      </c>
      <c r="L34" s="15">
        <v>0</v>
      </c>
      <c r="M34" s="15">
        <v>1</v>
      </c>
      <c r="N34" s="15">
        <v>2</v>
      </c>
      <c r="O34" s="15">
        <v>2</v>
      </c>
      <c r="P34" s="15">
        <v>8</v>
      </c>
      <c r="Q34" s="15">
        <v>5</v>
      </c>
      <c r="R34" s="15">
        <v>10</v>
      </c>
      <c r="S34" s="15">
        <v>6</v>
      </c>
      <c r="T34" s="15">
        <f t="shared" si="2"/>
        <v>100</v>
      </c>
    </row>
    <row r="35" spans="1:20">
      <c r="B35" s="15">
        <v>3</v>
      </c>
      <c r="C35" s="15">
        <v>0</v>
      </c>
      <c r="D35" s="15">
        <v>0</v>
      </c>
      <c r="E35" s="15">
        <v>5</v>
      </c>
      <c r="F35" s="15">
        <v>34</v>
      </c>
      <c r="G35" s="15">
        <v>15</v>
      </c>
      <c r="H35" s="15">
        <v>5</v>
      </c>
      <c r="I35" s="15">
        <v>2</v>
      </c>
      <c r="J35" s="15">
        <v>9</v>
      </c>
      <c r="K35" s="15">
        <v>7</v>
      </c>
      <c r="L35" s="15">
        <v>1</v>
      </c>
      <c r="M35" s="15">
        <v>1</v>
      </c>
      <c r="N35" s="15">
        <v>2</v>
      </c>
      <c r="O35" s="15">
        <v>1</v>
      </c>
      <c r="P35" s="15">
        <v>2</v>
      </c>
      <c r="Q35" s="15">
        <v>2</v>
      </c>
      <c r="R35" s="15">
        <v>8</v>
      </c>
      <c r="S35" s="15">
        <v>6</v>
      </c>
      <c r="T35" s="15">
        <f t="shared" si="2"/>
        <v>100</v>
      </c>
    </row>
    <row r="36" spans="1:20">
      <c r="B36" s="15">
        <v>4</v>
      </c>
      <c r="C36" s="15">
        <v>1</v>
      </c>
      <c r="D36" s="15">
        <v>0</v>
      </c>
      <c r="E36" s="15">
        <v>2</v>
      </c>
      <c r="F36" s="15">
        <v>37</v>
      </c>
      <c r="G36" s="15">
        <v>12</v>
      </c>
      <c r="H36" s="15">
        <v>12</v>
      </c>
      <c r="I36" s="15">
        <v>1</v>
      </c>
      <c r="J36" s="15">
        <v>9</v>
      </c>
      <c r="K36" s="15">
        <v>18</v>
      </c>
      <c r="L36" s="15">
        <v>2</v>
      </c>
      <c r="M36" s="15">
        <v>3</v>
      </c>
      <c r="N36" s="15">
        <v>3</v>
      </c>
      <c r="O36" s="15">
        <v>0</v>
      </c>
      <c r="P36" s="15">
        <v>0</v>
      </c>
      <c r="Q36" s="15">
        <v>0</v>
      </c>
      <c r="R36" s="15">
        <v>0</v>
      </c>
      <c r="S36" s="15">
        <v>0</v>
      </c>
      <c r="T36" s="15">
        <f t="shared" si="2"/>
        <v>100</v>
      </c>
    </row>
    <row r="37" spans="1:20">
      <c r="B37" s="15">
        <v>5</v>
      </c>
      <c r="C37" s="15">
        <v>1</v>
      </c>
      <c r="D37" s="15">
        <v>0</v>
      </c>
      <c r="E37" s="15">
        <v>2</v>
      </c>
      <c r="F37" s="15">
        <v>34</v>
      </c>
      <c r="G37" s="15">
        <v>23</v>
      </c>
      <c r="H37" s="15">
        <v>11</v>
      </c>
      <c r="I37" s="15">
        <v>2</v>
      </c>
      <c r="J37" s="15">
        <v>7</v>
      </c>
      <c r="K37" s="15">
        <v>13</v>
      </c>
      <c r="L37" s="15">
        <v>2</v>
      </c>
      <c r="M37" s="15">
        <v>1</v>
      </c>
      <c r="N37" s="15">
        <v>1</v>
      </c>
      <c r="O37" s="15">
        <v>0</v>
      </c>
      <c r="P37" s="15">
        <v>1</v>
      </c>
      <c r="Q37" s="15">
        <v>0</v>
      </c>
      <c r="R37" s="15">
        <v>2</v>
      </c>
      <c r="S37" s="15">
        <v>0</v>
      </c>
      <c r="T37" s="15">
        <f t="shared" si="2"/>
        <v>100</v>
      </c>
    </row>
    <row r="38" spans="1:20">
      <c r="B38" s="1" t="s">
        <v>41</v>
      </c>
      <c r="C38">
        <f t="shared" ref="C38:S38" si="4">AVERAGE(C33:C37)</f>
        <v>0.4</v>
      </c>
      <c r="D38">
        <f t="shared" si="4"/>
        <v>0</v>
      </c>
      <c r="E38">
        <f t="shared" si="4"/>
        <v>2.4</v>
      </c>
      <c r="F38">
        <f t="shared" si="4"/>
        <v>31.6</v>
      </c>
      <c r="G38">
        <f t="shared" si="4"/>
        <v>16.8</v>
      </c>
      <c r="H38">
        <f t="shared" si="4"/>
        <v>6.6</v>
      </c>
      <c r="I38">
        <f t="shared" si="4"/>
        <v>1.2</v>
      </c>
      <c r="J38">
        <f t="shared" si="4"/>
        <v>7.2</v>
      </c>
      <c r="K38">
        <f t="shared" si="4"/>
        <v>8.4</v>
      </c>
      <c r="L38">
        <f t="shared" si="4"/>
        <v>1.2</v>
      </c>
      <c r="M38">
        <f t="shared" si="4"/>
        <v>1.4</v>
      </c>
      <c r="N38">
        <f t="shared" si="4"/>
        <v>1.8</v>
      </c>
      <c r="O38">
        <f t="shared" si="4"/>
        <v>2.4</v>
      </c>
      <c r="P38">
        <f t="shared" si="4"/>
        <v>4.4000000000000004</v>
      </c>
      <c r="Q38">
        <f t="shared" si="4"/>
        <v>4</v>
      </c>
      <c r="R38">
        <f t="shared" si="4"/>
        <v>6</v>
      </c>
      <c r="S38">
        <f t="shared" si="4"/>
        <v>4.2</v>
      </c>
      <c r="T38" s="15">
        <f t="shared" si="2"/>
        <v>100.00000000000003</v>
      </c>
    </row>
    <row r="41" spans="1:20">
      <c r="A41" s="1" t="s">
        <v>55</v>
      </c>
      <c r="B41" s="18" t="s">
        <v>63</v>
      </c>
      <c r="C41">
        <f t="shared" ref="C41:S41" si="5">C15</f>
        <v>0.75</v>
      </c>
      <c r="D41">
        <f t="shared" si="5"/>
        <v>0.375</v>
      </c>
      <c r="E41">
        <f t="shared" si="5"/>
        <v>2</v>
      </c>
      <c r="F41">
        <f t="shared" si="5"/>
        <v>30.625</v>
      </c>
      <c r="G41">
        <f t="shared" si="5"/>
        <v>13.125</v>
      </c>
      <c r="H41">
        <f t="shared" si="5"/>
        <v>12.875</v>
      </c>
      <c r="I41">
        <f t="shared" si="5"/>
        <v>1.625</v>
      </c>
      <c r="J41">
        <f t="shared" si="5"/>
        <v>5.125</v>
      </c>
      <c r="K41">
        <f t="shared" si="5"/>
        <v>4.375</v>
      </c>
      <c r="L41">
        <f t="shared" si="5"/>
        <v>2.375</v>
      </c>
      <c r="M41">
        <f t="shared" si="5"/>
        <v>0.875</v>
      </c>
      <c r="N41">
        <f t="shared" si="5"/>
        <v>1.25</v>
      </c>
      <c r="O41">
        <f t="shared" si="5"/>
        <v>1.75</v>
      </c>
      <c r="P41">
        <f t="shared" si="5"/>
        <v>3.375</v>
      </c>
      <c r="Q41">
        <f t="shared" si="5"/>
        <v>6.25</v>
      </c>
      <c r="R41">
        <f t="shared" si="5"/>
        <v>9.25</v>
      </c>
      <c r="S41">
        <f t="shared" si="5"/>
        <v>4</v>
      </c>
      <c r="T41" s="15">
        <f>SUM(C41:S41)</f>
        <v>100</v>
      </c>
    </row>
    <row r="42" spans="1:20">
      <c r="B42" s="18" t="s">
        <v>59</v>
      </c>
      <c r="C42">
        <f t="shared" ref="C42:S42" si="6">C32</f>
        <v>0.7142857142857143</v>
      </c>
      <c r="D42">
        <f t="shared" si="6"/>
        <v>0.42857142857142855</v>
      </c>
      <c r="E42">
        <f t="shared" si="6"/>
        <v>2.0714285714285716</v>
      </c>
      <c r="F42">
        <f t="shared" si="6"/>
        <v>4.5714285714285712</v>
      </c>
      <c r="G42">
        <f t="shared" si="6"/>
        <v>41.5</v>
      </c>
      <c r="H42">
        <f t="shared" si="6"/>
        <v>3.6428571428571428</v>
      </c>
      <c r="I42">
        <f t="shared" si="6"/>
        <v>1</v>
      </c>
      <c r="J42">
        <f t="shared" si="6"/>
        <v>6.3571428571428568</v>
      </c>
      <c r="K42">
        <f t="shared" si="6"/>
        <v>10.142857142857142</v>
      </c>
      <c r="L42">
        <f t="shared" si="6"/>
        <v>3.2857142857142856</v>
      </c>
      <c r="M42">
        <f t="shared" si="6"/>
        <v>2.5714285714285716</v>
      </c>
      <c r="N42">
        <f t="shared" si="6"/>
        <v>2.8571428571428572</v>
      </c>
      <c r="O42">
        <f t="shared" si="6"/>
        <v>2.0714285714285716</v>
      </c>
      <c r="P42">
        <f t="shared" si="6"/>
        <v>3.7142857142857144</v>
      </c>
      <c r="Q42">
        <f t="shared" si="6"/>
        <v>6.6428571428571432</v>
      </c>
      <c r="R42">
        <f t="shared" si="6"/>
        <v>5.6428571428571432</v>
      </c>
      <c r="S42">
        <f t="shared" si="6"/>
        <v>2.7857142857142856</v>
      </c>
      <c r="T42" s="15">
        <f t="shared" ref="T42:T47" si="7">SUM(C42:S42)</f>
        <v>100</v>
      </c>
    </row>
    <row r="43" spans="1:20">
      <c r="B43" s="18" t="s">
        <v>60</v>
      </c>
      <c r="C43">
        <f t="shared" ref="C43:S43" si="8">C38</f>
        <v>0.4</v>
      </c>
      <c r="D43">
        <f t="shared" si="8"/>
        <v>0</v>
      </c>
      <c r="E43">
        <f t="shared" si="8"/>
        <v>2.4</v>
      </c>
      <c r="F43">
        <f t="shared" si="8"/>
        <v>31.6</v>
      </c>
      <c r="G43">
        <f t="shared" si="8"/>
        <v>16.8</v>
      </c>
      <c r="H43">
        <f t="shared" si="8"/>
        <v>6.6</v>
      </c>
      <c r="I43">
        <f t="shared" si="8"/>
        <v>1.2</v>
      </c>
      <c r="J43">
        <f t="shared" si="8"/>
        <v>7.2</v>
      </c>
      <c r="K43">
        <f t="shared" si="8"/>
        <v>8.4</v>
      </c>
      <c r="L43">
        <f t="shared" si="8"/>
        <v>1.2</v>
      </c>
      <c r="M43">
        <f t="shared" si="8"/>
        <v>1.4</v>
      </c>
      <c r="N43">
        <f t="shared" si="8"/>
        <v>1.8</v>
      </c>
      <c r="O43">
        <f t="shared" si="8"/>
        <v>2.4</v>
      </c>
      <c r="P43">
        <f t="shared" si="8"/>
        <v>4.4000000000000004</v>
      </c>
      <c r="Q43">
        <f t="shared" si="8"/>
        <v>4</v>
      </c>
      <c r="R43">
        <f t="shared" si="8"/>
        <v>6</v>
      </c>
      <c r="S43">
        <f t="shared" si="8"/>
        <v>4.2</v>
      </c>
      <c r="T43" s="15">
        <f t="shared" si="7"/>
        <v>100.00000000000003</v>
      </c>
    </row>
    <row r="45" spans="1:20">
      <c r="A45" s="1" t="s">
        <v>64</v>
      </c>
      <c r="C45">
        <f>AVERAGE(C41:C43)</f>
        <v>0.62142857142857144</v>
      </c>
      <c r="D45">
        <f t="shared" ref="D45:S45" si="9">AVERAGE(D41:D43)</f>
        <v>0.26785714285714285</v>
      </c>
      <c r="E45">
        <f t="shared" si="9"/>
        <v>2.157142857142857</v>
      </c>
      <c r="F45" s="16">
        <f t="shared" si="9"/>
        <v>22.265476190476193</v>
      </c>
      <c r="G45" s="16">
        <f t="shared" si="9"/>
        <v>23.808333333333334</v>
      </c>
      <c r="H45" s="16">
        <f t="shared" si="9"/>
        <v>7.7059523809523798</v>
      </c>
      <c r="I45">
        <f t="shared" si="9"/>
        <v>1.2750000000000001</v>
      </c>
      <c r="J45" s="16">
        <f t="shared" si="9"/>
        <v>6.227380952380952</v>
      </c>
      <c r="K45" s="16">
        <f t="shared" si="9"/>
        <v>7.6392857142857151</v>
      </c>
      <c r="L45">
        <f t="shared" si="9"/>
        <v>2.2869047619047618</v>
      </c>
      <c r="M45">
        <f t="shared" si="9"/>
        <v>1.6154761904761905</v>
      </c>
      <c r="N45">
        <f t="shared" si="9"/>
        <v>1.9690476190476192</v>
      </c>
      <c r="O45">
        <f t="shared" si="9"/>
        <v>2.073809523809524</v>
      </c>
      <c r="P45">
        <f t="shared" si="9"/>
        <v>3.8297619047619045</v>
      </c>
      <c r="Q45" s="16">
        <f t="shared" si="9"/>
        <v>5.6309523809523805</v>
      </c>
      <c r="R45" s="16">
        <f t="shared" si="9"/>
        <v>6.9642857142857144</v>
      </c>
      <c r="S45">
        <f t="shared" si="9"/>
        <v>3.6619047619047618</v>
      </c>
      <c r="T45" s="15">
        <f t="shared" si="7"/>
        <v>100</v>
      </c>
    </row>
    <row r="47" spans="1:20">
      <c r="A47" s="1" t="s">
        <v>66</v>
      </c>
      <c r="F47">
        <f>F45/SUM($F45:$H45,$J45:$K45,$Q45:$R45)*100</f>
        <v>27.748023085025892</v>
      </c>
      <c r="G47">
        <f>G45/SUM($F45:$H45,$J45:$K45,$Q45:$R45)*100</f>
        <v>29.670786166787828</v>
      </c>
      <c r="H47">
        <f>H45/SUM($F45:$H45,$J45:$K45,$Q45:$R45)*100</f>
        <v>9.6034301143865974</v>
      </c>
      <c r="J47">
        <f>J45/SUM($F45:$H45,$J45:$K45,$Q45:$R45)*100</f>
        <v>7.7607821610314067</v>
      </c>
      <c r="K47">
        <f>K45/SUM($F45:$H45,$J45:$K45,$Q45:$R45)*100</f>
        <v>9.5203477590018259</v>
      </c>
      <c r="Q47">
        <f>Q45/SUM($F45:$H45,$J45:$K45,$Q45:$R45)*100</f>
        <v>7.0174918030354725</v>
      </c>
      <c r="R47">
        <f>R45/SUM($F45:$H45,$J45:$K45,$Q45:$R45)*100</f>
        <v>8.6791389107309751</v>
      </c>
      <c r="T47" s="15">
        <f t="shared" si="7"/>
        <v>99.999999999999986</v>
      </c>
    </row>
    <row r="49" spans="1:13">
      <c r="A49" s="1" t="s">
        <v>645</v>
      </c>
    </row>
    <row r="51" spans="1:13">
      <c r="D51" s="1" t="s">
        <v>67</v>
      </c>
      <c r="E51" s="1" t="s">
        <v>68</v>
      </c>
      <c r="F51" s="1" t="s">
        <v>47</v>
      </c>
      <c r="G51" s="1" t="s">
        <v>69</v>
      </c>
      <c r="H51" s="1" t="s">
        <v>169</v>
      </c>
    </row>
    <row r="52" spans="1:13">
      <c r="D52" s="22" t="s">
        <v>37</v>
      </c>
      <c r="E52">
        <v>27.748023085025892</v>
      </c>
      <c r="F52">
        <v>242.4</v>
      </c>
      <c r="G52">
        <f>E52/100*F52</f>
        <v>67.261207958102759</v>
      </c>
      <c r="H52" s="1" t="s">
        <v>171</v>
      </c>
      <c r="K52" t="s">
        <v>176</v>
      </c>
    </row>
    <row r="53" spans="1:13">
      <c r="D53" s="22" t="s">
        <v>38</v>
      </c>
      <c r="E53">
        <v>29.670786166787828</v>
      </c>
      <c r="F53">
        <v>242.4</v>
      </c>
      <c r="G53">
        <f t="shared" ref="G53:G58" si="10">E53/100*F53</f>
        <v>71.921985668293701</v>
      </c>
      <c r="H53" s="1" t="s">
        <v>170</v>
      </c>
      <c r="K53" t="s">
        <v>177</v>
      </c>
    </row>
    <row r="54" spans="1:13">
      <c r="D54" s="23">
        <v>0.625</v>
      </c>
      <c r="E54">
        <v>9.6034301143865974</v>
      </c>
      <c r="F54">
        <v>242.4</v>
      </c>
      <c r="G54">
        <f t="shared" si="10"/>
        <v>23.278714597273112</v>
      </c>
      <c r="H54" s="1" t="s">
        <v>178</v>
      </c>
      <c r="K54" t="s">
        <v>193</v>
      </c>
    </row>
    <row r="55" spans="1:13">
      <c r="D55" s="23">
        <v>0.66666666666666663</v>
      </c>
      <c r="E55">
        <v>7.7607821610314067</v>
      </c>
      <c r="F55">
        <v>256.42</v>
      </c>
      <c r="G55">
        <f t="shared" si="10"/>
        <v>19.900197617316735</v>
      </c>
      <c r="H55" s="1" t="s">
        <v>172</v>
      </c>
      <c r="K55" t="s">
        <v>192</v>
      </c>
    </row>
    <row r="56" spans="1:13">
      <c r="D56" s="22" t="s">
        <v>70</v>
      </c>
      <c r="E56">
        <v>9.5203477590018259</v>
      </c>
      <c r="F56">
        <v>270.45</v>
      </c>
      <c r="G56">
        <f t="shared" si="10"/>
        <v>25.747780514220437</v>
      </c>
      <c r="H56" s="1" t="s">
        <v>174</v>
      </c>
      <c r="K56" t="s">
        <v>191</v>
      </c>
      <c r="M56" s="1" t="s">
        <v>130</v>
      </c>
    </row>
    <row r="57" spans="1:13">
      <c r="D57" s="23">
        <v>0.875</v>
      </c>
      <c r="E57">
        <v>7.0174918030354725</v>
      </c>
      <c r="F57">
        <v>326.56</v>
      </c>
      <c r="G57">
        <f t="shared" si="10"/>
        <v>22.916321231992637</v>
      </c>
      <c r="H57" s="1" t="s">
        <v>173</v>
      </c>
      <c r="K57" t="s">
        <v>190</v>
      </c>
    </row>
    <row r="58" spans="1:13">
      <c r="D58" s="23">
        <v>0.91666666666666663</v>
      </c>
      <c r="E58">
        <v>8.6791389107309751</v>
      </c>
      <c r="F58">
        <v>340.58</v>
      </c>
      <c r="G58">
        <f t="shared" si="10"/>
        <v>29.559411302167554</v>
      </c>
      <c r="H58" s="1" t="s">
        <v>168</v>
      </c>
      <c r="K58" s="1" t="s">
        <v>197</v>
      </c>
    </row>
    <row r="59" spans="1:13">
      <c r="D59" s="2" t="s">
        <v>2</v>
      </c>
      <c r="G59" s="2">
        <f>SUM(G52:G58)</f>
        <v>260.58561888936697</v>
      </c>
      <c r="H59" t="s">
        <v>175</v>
      </c>
      <c r="K59" t="s">
        <v>189</v>
      </c>
    </row>
    <row r="60" spans="1:13">
      <c r="D60" s="2"/>
      <c r="G60" s="2"/>
    </row>
    <row r="61" spans="1:13">
      <c r="A61" s="12" t="s">
        <v>210</v>
      </c>
      <c r="B61" s="13" t="s">
        <v>136</v>
      </c>
      <c r="C61" s="13" t="s">
        <v>133</v>
      </c>
      <c r="D61" s="13"/>
      <c r="E61" s="12" t="s">
        <v>194</v>
      </c>
      <c r="F61" s="13" t="s">
        <v>134</v>
      </c>
      <c r="G61" s="13" t="s">
        <v>134</v>
      </c>
      <c r="H61" s="13" t="s">
        <v>135</v>
      </c>
      <c r="I61" s="12" t="s">
        <v>203</v>
      </c>
      <c r="J61" s="12" t="s">
        <v>202</v>
      </c>
    </row>
    <row r="62" spans="1:13">
      <c r="D62" s="2"/>
      <c r="G62" s="2"/>
    </row>
    <row r="63" spans="1:13">
      <c r="A63" s="1" t="s">
        <v>646</v>
      </c>
      <c r="D63" s="2"/>
      <c r="G63" s="2"/>
    </row>
    <row r="64" spans="1:13">
      <c r="D64" s="2"/>
      <c r="G64" s="2"/>
    </row>
    <row r="65" spans="1:18">
      <c r="A65" s="12" t="s">
        <v>206</v>
      </c>
      <c r="B65" s="13" t="s">
        <v>136</v>
      </c>
      <c r="C65" s="13" t="s">
        <v>133</v>
      </c>
      <c r="D65" s="13"/>
      <c r="E65" s="13" t="s">
        <v>163</v>
      </c>
      <c r="F65" s="13" t="s">
        <v>134</v>
      </c>
      <c r="G65" s="13" t="s">
        <v>134</v>
      </c>
      <c r="H65" s="13" t="s">
        <v>135</v>
      </c>
      <c r="I65" s="12" t="s">
        <v>167</v>
      </c>
      <c r="J65" s="12" t="s">
        <v>166</v>
      </c>
    </row>
    <row r="66" spans="1:18">
      <c r="A66" s="12" t="s">
        <v>207</v>
      </c>
      <c r="B66" s="13" t="s">
        <v>132</v>
      </c>
      <c r="C66" s="13" t="s">
        <v>133</v>
      </c>
      <c r="D66" s="13"/>
      <c r="E66" s="12" t="s">
        <v>183</v>
      </c>
      <c r="F66" s="13" t="s">
        <v>134</v>
      </c>
      <c r="G66" s="13" t="s">
        <v>134</v>
      </c>
      <c r="H66" s="13" t="s">
        <v>135</v>
      </c>
      <c r="I66" s="12" t="s">
        <v>205</v>
      </c>
      <c r="J66" s="12" t="s">
        <v>184</v>
      </c>
    </row>
    <row r="67" spans="1:18">
      <c r="A67" s="12" t="s">
        <v>208</v>
      </c>
      <c r="B67" s="13" t="s">
        <v>136</v>
      </c>
      <c r="C67" s="13" t="s">
        <v>133</v>
      </c>
      <c r="D67" s="13"/>
      <c r="E67" s="12" t="s">
        <v>185</v>
      </c>
      <c r="F67" s="13" t="s">
        <v>134</v>
      </c>
      <c r="G67" s="13" t="s">
        <v>134</v>
      </c>
      <c r="H67" s="13" t="s">
        <v>135</v>
      </c>
      <c r="I67" s="12" t="s">
        <v>204</v>
      </c>
      <c r="J67" s="12" t="s">
        <v>186</v>
      </c>
    </row>
    <row r="68" spans="1:18" ht="12.75" customHeight="1">
      <c r="A68" s="12" t="s">
        <v>209</v>
      </c>
      <c r="B68" s="13" t="s">
        <v>132</v>
      </c>
      <c r="C68" s="13" t="s">
        <v>133</v>
      </c>
      <c r="D68" s="13"/>
      <c r="E68" s="13" t="s">
        <v>163</v>
      </c>
      <c r="F68" s="13" t="s">
        <v>134</v>
      </c>
      <c r="G68" s="13" t="s">
        <v>134</v>
      </c>
      <c r="H68" s="13" t="s">
        <v>135</v>
      </c>
      <c r="I68" s="12" t="s">
        <v>188</v>
      </c>
      <c r="J68" s="12" t="s">
        <v>187</v>
      </c>
      <c r="K68" s="25"/>
      <c r="L68" s="25"/>
      <c r="M68" s="25"/>
      <c r="N68" s="25"/>
      <c r="O68" s="25"/>
      <c r="P68" s="25"/>
      <c r="Q68" s="25"/>
      <c r="R68" s="25"/>
    </row>
    <row r="69" spans="1:18">
      <c r="A69" s="13" t="s">
        <v>139</v>
      </c>
      <c r="B69" s="13" t="s">
        <v>132</v>
      </c>
      <c r="C69" s="13" t="s">
        <v>133</v>
      </c>
      <c r="D69" s="13"/>
      <c r="E69" s="13" t="s">
        <v>140</v>
      </c>
      <c r="F69" s="13" t="s">
        <v>134</v>
      </c>
      <c r="G69" s="13" t="s">
        <v>134</v>
      </c>
      <c r="H69" s="13" t="s">
        <v>135</v>
      </c>
      <c r="I69" s="13" t="s">
        <v>141</v>
      </c>
      <c r="J69" s="12" t="s">
        <v>142</v>
      </c>
      <c r="K69" s="25"/>
      <c r="L69" s="25"/>
      <c r="M69" s="25"/>
      <c r="N69" s="25"/>
      <c r="O69" s="25"/>
      <c r="P69" s="25"/>
      <c r="Q69" s="25"/>
      <c r="R69" s="25"/>
    </row>
    <row r="70" spans="1:18">
      <c r="A70" s="13" t="s">
        <v>143</v>
      </c>
      <c r="B70" s="13" t="s">
        <v>132</v>
      </c>
      <c r="C70" s="13" t="s">
        <v>133</v>
      </c>
      <c r="D70" s="13"/>
      <c r="E70" s="13" t="s">
        <v>140</v>
      </c>
      <c r="F70" s="13" t="s">
        <v>134</v>
      </c>
      <c r="G70" s="13" t="s">
        <v>134</v>
      </c>
      <c r="H70" s="13" t="s">
        <v>135</v>
      </c>
      <c r="I70" s="13" t="s">
        <v>144</v>
      </c>
      <c r="J70" s="12" t="s">
        <v>145</v>
      </c>
      <c r="K70" s="25"/>
      <c r="L70" s="25"/>
      <c r="M70" s="25"/>
      <c r="N70" s="25"/>
      <c r="O70" s="25"/>
      <c r="P70" s="25"/>
      <c r="Q70" s="25"/>
      <c r="R70" s="25"/>
    </row>
    <row r="71" spans="1:18">
      <c r="A71" s="13" t="s">
        <v>146</v>
      </c>
      <c r="B71" s="13" t="s">
        <v>132</v>
      </c>
      <c r="C71" s="13" t="s">
        <v>133</v>
      </c>
      <c r="D71" s="13"/>
      <c r="E71" s="13" t="s">
        <v>140</v>
      </c>
      <c r="F71" s="13" t="s">
        <v>134</v>
      </c>
      <c r="G71" s="13" t="s">
        <v>134</v>
      </c>
      <c r="H71" s="13" t="s">
        <v>135</v>
      </c>
      <c r="I71" s="13" t="s">
        <v>147</v>
      </c>
      <c r="J71" s="13" t="s">
        <v>148</v>
      </c>
      <c r="K71" s="25"/>
      <c r="L71" s="25"/>
      <c r="M71" s="25"/>
      <c r="N71" s="25"/>
      <c r="O71" s="25"/>
      <c r="P71" s="25"/>
      <c r="Q71" s="25"/>
      <c r="R71" s="25"/>
    </row>
    <row r="72" spans="1:18">
      <c r="A72" s="13" t="s">
        <v>149</v>
      </c>
      <c r="B72" s="13" t="s">
        <v>132</v>
      </c>
      <c r="C72" s="13" t="s">
        <v>133</v>
      </c>
      <c r="D72" s="13"/>
      <c r="E72" s="13" t="s">
        <v>140</v>
      </c>
      <c r="F72" s="13" t="s">
        <v>134</v>
      </c>
      <c r="G72" s="13" t="s">
        <v>134</v>
      </c>
      <c r="H72" s="13" t="s">
        <v>135</v>
      </c>
      <c r="I72" s="13" t="s">
        <v>150</v>
      </c>
      <c r="J72" s="13" t="s">
        <v>151</v>
      </c>
      <c r="K72" s="25"/>
      <c r="L72" s="25"/>
      <c r="M72" s="25"/>
      <c r="N72" s="25"/>
      <c r="O72" s="25"/>
      <c r="P72" s="25"/>
      <c r="Q72" s="25"/>
      <c r="R72" s="25"/>
    </row>
    <row r="73" spans="1:18">
      <c r="A73" s="13" t="s">
        <v>152</v>
      </c>
      <c r="B73" s="13" t="s">
        <v>132</v>
      </c>
      <c r="C73" s="13" t="s">
        <v>133</v>
      </c>
      <c r="D73" s="13"/>
      <c r="E73" s="13" t="s">
        <v>140</v>
      </c>
      <c r="F73" s="13" t="s">
        <v>134</v>
      </c>
      <c r="G73" s="13" t="s">
        <v>134</v>
      </c>
      <c r="H73" s="13" t="s">
        <v>135</v>
      </c>
      <c r="I73" s="13" t="s">
        <v>153</v>
      </c>
      <c r="J73" s="13" t="s">
        <v>154</v>
      </c>
    </row>
    <row r="74" spans="1:18">
      <c r="A74" s="13" t="s">
        <v>155</v>
      </c>
      <c r="B74" s="13" t="s">
        <v>132</v>
      </c>
      <c r="C74" s="13" t="s">
        <v>133</v>
      </c>
      <c r="D74" s="13"/>
      <c r="E74" s="13" t="s">
        <v>156</v>
      </c>
      <c r="F74" s="13" t="s">
        <v>134</v>
      </c>
      <c r="G74" s="13" t="s">
        <v>134</v>
      </c>
      <c r="H74" s="13" t="s">
        <v>135</v>
      </c>
      <c r="I74" s="13" t="s">
        <v>157</v>
      </c>
      <c r="J74" s="13" t="s">
        <v>158</v>
      </c>
    </row>
    <row r="75" spans="1:18">
      <c r="A75" s="13" t="s">
        <v>159</v>
      </c>
      <c r="B75" s="13" t="s">
        <v>132</v>
      </c>
      <c r="C75" s="13" t="s">
        <v>133</v>
      </c>
      <c r="D75" s="13"/>
      <c r="E75" s="13" t="s">
        <v>156</v>
      </c>
      <c r="F75" s="13" t="s">
        <v>134</v>
      </c>
      <c r="G75" s="13" t="s">
        <v>134</v>
      </c>
      <c r="H75" s="13" t="s">
        <v>135</v>
      </c>
      <c r="I75" s="13" t="s">
        <v>160</v>
      </c>
      <c r="J75" s="13" t="s">
        <v>161</v>
      </c>
    </row>
    <row r="76" spans="1:18">
      <c r="A76" s="13" t="s">
        <v>162</v>
      </c>
      <c r="B76" s="13" t="s">
        <v>136</v>
      </c>
      <c r="C76" s="13" t="s">
        <v>133</v>
      </c>
      <c r="D76" s="13"/>
      <c r="E76" s="13" t="s">
        <v>163</v>
      </c>
      <c r="F76" s="13" t="s">
        <v>134</v>
      </c>
      <c r="G76" s="13" t="s">
        <v>134</v>
      </c>
      <c r="H76" s="13" t="s">
        <v>135</v>
      </c>
      <c r="I76" s="12" t="s">
        <v>164</v>
      </c>
      <c r="J76" s="12" t="s">
        <v>165</v>
      </c>
    </row>
    <row r="77" spans="1:18">
      <c r="A77" s="13" t="s">
        <v>179</v>
      </c>
      <c r="B77" s="13" t="s">
        <v>136</v>
      </c>
      <c r="C77" s="13" t="s">
        <v>133</v>
      </c>
      <c r="D77" s="13"/>
      <c r="E77" s="13" t="s">
        <v>180</v>
      </c>
      <c r="F77" s="13" t="s">
        <v>134</v>
      </c>
      <c r="G77" s="13" t="s">
        <v>134</v>
      </c>
      <c r="H77" s="13" t="s">
        <v>135</v>
      </c>
      <c r="I77" s="13" t="s">
        <v>181</v>
      </c>
      <c r="J77" s="12" t="s">
        <v>182</v>
      </c>
    </row>
    <row r="78" spans="1:18">
      <c r="D78" s="2"/>
      <c r="G78" s="2"/>
    </row>
    <row r="79" spans="1:18" ht="12.75" customHeight="1">
      <c r="D79" s="2"/>
      <c r="G79" s="2"/>
      <c r="K79" s="25"/>
      <c r="L79" s="25"/>
      <c r="M79" s="25"/>
      <c r="N79" s="25"/>
      <c r="O79" s="25"/>
      <c r="P79" s="25"/>
      <c r="Q79" s="25"/>
      <c r="R79" s="25"/>
    </row>
    <row r="80" spans="1:18">
      <c r="A80" s="88" t="s">
        <v>660</v>
      </c>
      <c r="B80" s="88"/>
      <c r="C80" s="88"/>
      <c r="D80" s="88"/>
      <c r="E80" s="88"/>
      <c r="F80" s="88"/>
      <c r="G80" s="88"/>
      <c r="H80" s="88"/>
      <c r="I80" s="88"/>
      <c r="J80" s="88"/>
      <c r="K80" s="88"/>
      <c r="L80" s="88"/>
      <c r="M80" s="88"/>
      <c r="N80" s="88"/>
      <c r="O80" s="88"/>
      <c r="P80" s="88"/>
      <c r="Q80" s="25"/>
      <c r="R80" s="25"/>
    </row>
    <row r="81" spans="1:16" ht="12.75" customHeight="1">
      <c r="A81" s="88"/>
      <c r="B81" s="88"/>
      <c r="C81" s="88"/>
      <c r="D81" s="88"/>
      <c r="E81" s="88"/>
      <c r="F81" s="88"/>
      <c r="G81" s="88"/>
      <c r="H81" s="88"/>
      <c r="I81" s="88"/>
      <c r="J81" s="88"/>
      <c r="K81" s="88"/>
      <c r="L81" s="88"/>
      <c r="M81" s="88"/>
      <c r="N81" s="88"/>
      <c r="O81" s="88"/>
      <c r="P81" s="88"/>
    </row>
    <row r="82" spans="1:16">
      <c r="A82" s="88"/>
      <c r="B82" s="88"/>
      <c r="C82" s="88"/>
      <c r="D82" s="88"/>
      <c r="E82" s="88"/>
      <c r="F82" s="88"/>
      <c r="G82" s="88"/>
      <c r="H82" s="88"/>
      <c r="I82" s="88"/>
      <c r="J82" s="88"/>
      <c r="K82" s="88"/>
      <c r="L82" s="88"/>
      <c r="M82" s="88"/>
      <c r="N82" s="88"/>
      <c r="O82" s="88"/>
      <c r="P82" s="88"/>
    </row>
    <row r="83" spans="1:16">
      <c r="A83" s="88"/>
      <c r="B83" s="88"/>
      <c r="C83" s="88"/>
      <c r="D83" s="88"/>
      <c r="E83" s="88"/>
      <c r="F83" s="88"/>
      <c r="G83" s="88"/>
      <c r="H83" s="88"/>
      <c r="I83" s="88"/>
      <c r="J83" s="88"/>
      <c r="K83" s="88"/>
      <c r="L83" s="88"/>
      <c r="M83" s="88"/>
      <c r="N83" s="88"/>
      <c r="O83" s="88"/>
      <c r="P83" s="88"/>
    </row>
    <row r="84" spans="1:16">
      <c r="A84" s="88"/>
      <c r="B84" s="88"/>
      <c r="C84" s="88"/>
      <c r="D84" s="88"/>
      <c r="E84" s="88"/>
      <c r="F84" s="88"/>
      <c r="G84" s="88"/>
      <c r="H84" s="88"/>
      <c r="I84" s="88"/>
      <c r="J84" s="88"/>
      <c r="K84" s="88"/>
      <c r="L84" s="88"/>
      <c r="M84" s="88"/>
      <c r="N84" s="88"/>
      <c r="O84" s="88"/>
      <c r="P84" s="88"/>
    </row>
    <row r="85" spans="1:16">
      <c r="A85" s="88"/>
      <c r="B85" s="88"/>
      <c r="C85" s="88"/>
      <c r="D85" s="88"/>
      <c r="E85" s="88"/>
      <c r="F85" s="88"/>
      <c r="G85" s="88"/>
      <c r="H85" s="88"/>
      <c r="I85" s="88"/>
      <c r="J85" s="88"/>
      <c r="K85" s="88"/>
      <c r="L85" s="88"/>
      <c r="M85" s="88"/>
      <c r="N85" s="88"/>
      <c r="O85" s="88"/>
      <c r="P85" s="88"/>
    </row>
    <row r="87" spans="1:16">
      <c r="A87" s="1"/>
      <c r="B87" s="1" t="s">
        <v>71</v>
      </c>
      <c r="D87" s="1" t="s">
        <v>72</v>
      </c>
    </row>
    <row r="88" spans="1:16">
      <c r="A88" s="1" t="s">
        <v>43</v>
      </c>
      <c r="B88" s="1">
        <v>0.3</v>
      </c>
      <c r="D88">
        <f>B88/SUM(B88:B89)</f>
        <v>0.4285714285714286</v>
      </c>
    </row>
    <row r="89" spans="1:16">
      <c r="A89" s="1" t="s">
        <v>51</v>
      </c>
      <c r="B89" s="1">
        <v>0.4</v>
      </c>
      <c r="D89">
        <f>B89/SUM(B88:B89)</f>
        <v>0.57142857142857151</v>
      </c>
    </row>
    <row r="91" spans="1:16">
      <c r="A91" s="2" t="s">
        <v>43</v>
      </c>
    </row>
    <row r="92" spans="1:16" s="51" customFormat="1">
      <c r="A92" s="88" t="s">
        <v>644</v>
      </c>
      <c r="B92" s="88"/>
      <c r="C92" s="88"/>
      <c r="D92" s="88"/>
      <c r="E92" s="88"/>
      <c r="F92" s="88"/>
      <c r="G92" s="88"/>
      <c r="H92" s="88"/>
      <c r="I92" s="88"/>
      <c r="J92" s="88"/>
      <c r="K92" s="88"/>
      <c r="L92" s="88"/>
      <c r="M92" s="88"/>
    </row>
    <row r="93" spans="1:16">
      <c r="A93" s="88"/>
      <c r="B93" s="88"/>
      <c r="C93" s="88"/>
      <c r="D93" s="88"/>
      <c r="E93" s="88"/>
      <c r="F93" s="88"/>
      <c r="G93" s="88"/>
      <c r="H93" s="88"/>
      <c r="I93" s="88"/>
      <c r="J93" s="88"/>
      <c r="K93" s="88"/>
      <c r="L93" s="88"/>
      <c r="M93" s="88"/>
    </row>
    <row r="94" spans="1:16">
      <c r="C94" s="94" t="s">
        <v>56</v>
      </c>
      <c r="D94" s="88" t="s">
        <v>86</v>
      </c>
      <c r="E94" s="93" t="s">
        <v>47</v>
      </c>
      <c r="F94" s="88" t="s">
        <v>91</v>
      </c>
      <c r="G94" s="88" t="s">
        <v>94</v>
      </c>
    </row>
    <row r="95" spans="1:16">
      <c r="A95" s="98" t="s">
        <v>26</v>
      </c>
      <c r="B95" s="98"/>
      <c r="C95" s="94"/>
      <c r="D95" s="88"/>
      <c r="E95" s="93"/>
      <c r="F95" s="88"/>
      <c r="G95" s="88"/>
    </row>
    <row r="96" spans="1:16">
      <c r="A96" t="s">
        <v>24</v>
      </c>
      <c r="C96">
        <v>3</v>
      </c>
      <c r="D96">
        <v>0.27272727272727271</v>
      </c>
      <c r="E96">
        <f>E113</f>
        <v>1982.548475557468</v>
      </c>
      <c r="F96" s="1">
        <f t="shared" ref="F96:F101" si="11">D96/E$102*1000</f>
        <v>0.20087042581966447</v>
      </c>
      <c r="G96">
        <f t="shared" ref="G96:G101" si="12">F96*$D$88</f>
        <v>8.6087325351284771E-2</v>
      </c>
    </row>
    <row r="97" spans="1:13">
      <c r="A97" t="s">
        <v>19</v>
      </c>
      <c r="C97">
        <v>2</v>
      </c>
      <c r="D97">
        <v>0.18181818181818182</v>
      </c>
      <c r="E97" s="1">
        <f>M109</f>
        <v>1037.321237778734</v>
      </c>
      <c r="F97" s="1">
        <f t="shared" si="11"/>
        <v>0.13391361721310965</v>
      </c>
      <c r="G97">
        <f t="shared" si="12"/>
        <v>5.7391550234189855E-2</v>
      </c>
    </row>
    <row r="98" spans="1:13">
      <c r="A98" t="s">
        <v>42</v>
      </c>
      <c r="C98">
        <v>2</v>
      </c>
      <c r="D98">
        <v>0.18181818181818182</v>
      </c>
      <c r="E98">
        <f>N117</f>
        <v>1125.381237778734</v>
      </c>
      <c r="F98" s="1">
        <f t="shared" si="11"/>
        <v>0.13391361721310965</v>
      </c>
      <c r="G98">
        <f t="shared" si="12"/>
        <v>5.7391550234189855E-2</v>
      </c>
    </row>
    <row r="99" spans="1:13">
      <c r="A99" t="s">
        <v>53</v>
      </c>
      <c r="C99">
        <v>1</v>
      </c>
      <c r="D99">
        <v>9.0909090909090912E-2</v>
      </c>
      <c r="E99">
        <f>N121</f>
        <v>557.79561888936701</v>
      </c>
      <c r="F99" s="1">
        <f t="shared" si="11"/>
        <v>6.6956808606554827E-2</v>
      </c>
      <c r="G99">
        <f t="shared" si="12"/>
        <v>2.8695775117094927E-2</v>
      </c>
    </row>
    <row r="100" spans="1:13">
      <c r="A100" t="s">
        <v>18</v>
      </c>
      <c r="C100">
        <v>1</v>
      </c>
      <c r="D100">
        <v>9.0909090909090912E-2</v>
      </c>
      <c r="E100">
        <f>O125</f>
        <v>928.34123777873424</v>
      </c>
      <c r="F100" s="1">
        <f t="shared" si="11"/>
        <v>6.6956808606554827E-2</v>
      </c>
      <c r="G100">
        <f t="shared" si="12"/>
        <v>2.8695775117094927E-2</v>
      </c>
    </row>
    <row r="101" spans="1:13">
      <c r="A101" t="s">
        <v>54</v>
      </c>
      <c r="C101">
        <v>2</v>
      </c>
      <c r="D101">
        <v>0.18181818181818182</v>
      </c>
      <c r="E101">
        <f>K129</f>
        <v>1587.9068566681012</v>
      </c>
      <c r="F101" s="1">
        <f t="shared" si="11"/>
        <v>0.13391361721310965</v>
      </c>
      <c r="G101">
        <f t="shared" si="12"/>
        <v>5.7391550234189855E-2</v>
      </c>
    </row>
    <row r="102" spans="1:13">
      <c r="A102" s="1" t="s">
        <v>2</v>
      </c>
      <c r="E102">
        <f>SUMPRODUCT(D96:D101,E96:E101)</f>
        <v>1357.7273588901494</v>
      </c>
    </row>
    <row r="103" spans="1:13">
      <c r="A103" s="1"/>
    </row>
    <row r="104" spans="1:13">
      <c r="A104" s="18" t="s">
        <v>211</v>
      </c>
    </row>
    <row r="105" spans="1:13">
      <c r="A105" s="1"/>
    </row>
    <row r="106" spans="1:13">
      <c r="C106" s="1" t="s">
        <v>19</v>
      </c>
    </row>
    <row r="107" spans="1:13">
      <c r="A107" s="1"/>
      <c r="B107" s="1" t="s">
        <v>74</v>
      </c>
      <c r="C107" s="1" t="s">
        <v>75</v>
      </c>
      <c r="D107" s="1" t="s">
        <v>137</v>
      </c>
      <c r="E107" s="1" t="s">
        <v>36</v>
      </c>
      <c r="F107" s="1" t="s">
        <v>78</v>
      </c>
      <c r="G107" s="1" t="s">
        <v>79</v>
      </c>
      <c r="H107" s="1" t="s">
        <v>25</v>
      </c>
      <c r="I107" s="1" t="s">
        <v>76</v>
      </c>
      <c r="J107" s="1" t="s">
        <v>77</v>
      </c>
      <c r="K107" s="1" t="s">
        <v>22</v>
      </c>
      <c r="L107" s="1" t="s">
        <v>138</v>
      </c>
      <c r="M107" s="1" t="s">
        <v>19</v>
      </c>
    </row>
    <row r="108" spans="1:13">
      <c r="B108" s="1" t="s">
        <v>73</v>
      </c>
      <c r="C108">
        <v>-2</v>
      </c>
      <c r="D108">
        <v>-2</v>
      </c>
      <c r="E108">
        <v>-2</v>
      </c>
      <c r="F108">
        <v>-1</v>
      </c>
      <c r="G108">
        <v>-1</v>
      </c>
      <c r="H108">
        <v>2</v>
      </c>
      <c r="I108">
        <v>3</v>
      </c>
      <c r="J108">
        <v>1</v>
      </c>
      <c r="K108">
        <v>1</v>
      </c>
      <c r="L108">
        <v>1</v>
      </c>
      <c r="M108">
        <v>1</v>
      </c>
    </row>
    <row r="109" spans="1:13">
      <c r="B109" s="1" t="s">
        <v>47</v>
      </c>
      <c r="C109">
        <v>170.06</v>
      </c>
      <c r="D109">
        <f>G59-17+340</f>
        <v>583.58561888936697</v>
      </c>
      <c r="E109">
        <v>507</v>
      </c>
      <c r="F109">
        <v>479.13</v>
      </c>
      <c r="G109">
        <v>18</v>
      </c>
      <c r="H109">
        <v>345.06</v>
      </c>
      <c r="I109">
        <v>177.94</v>
      </c>
      <c r="J109">
        <v>95.98</v>
      </c>
      <c r="K109">
        <v>321.18</v>
      </c>
      <c r="L109">
        <v>340</v>
      </c>
      <c r="M109">
        <f>-SUMPRODUCT(C108:L108,C109:L109)</f>
        <v>1037.321237778734</v>
      </c>
    </row>
    <row r="110" spans="1:13">
      <c r="A110" s="1"/>
      <c r="B110" s="1"/>
      <c r="C110" s="1" t="s">
        <v>24</v>
      </c>
      <c r="D110" s="1"/>
      <c r="E110" s="1"/>
      <c r="F110" s="1"/>
      <c r="G110" s="1"/>
    </row>
    <row r="111" spans="1:13">
      <c r="B111" s="1" t="s">
        <v>74</v>
      </c>
      <c r="C111" s="1" t="s">
        <v>19</v>
      </c>
      <c r="D111" s="1" t="s">
        <v>80</v>
      </c>
      <c r="E111" s="1" t="s">
        <v>24</v>
      </c>
    </row>
    <row r="112" spans="1:13">
      <c r="B112" s="1" t="s">
        <v>73</v>
      </c>
      <c r="C112">
        <v>-2</v>
      </c>
      <c r="D112">
        <v>1</v>
      </c>
      <c r="E112">
        <v>1</v>
      </c>
      <c r="F112" s="1" t="s">
        <v>45</v>
      </c>
    </row>
    <row r="113" spans="2:15">
      <c r="B113" s="1" t="s">
        <v>47</v>
      </c>
      <c r="C113">
        <f>M109</f>
        <v>1037.321237778734</v>
      </c>
      <c r="D113">
        <v>92.093999999999994</v>
      </c>
      <c r="E113">
        <f>-SUMPRODUCT(C112:D112,C113:D113)/E112</f>
        <v>1982.548475557468</v>
      </c>
    </row>
    <row r="114" spans="2:15">
      <c r="B114" s="1"/>
      <c r="C114" s="1" t="s">
        <v>42</v>
      </c>
    </row>
    <row r="115" spans="2:15">
      <c r="B115" s="1" t="s">
        <v>74</v>
      </c>
      <c r="C115" s="1" t="s">
        <v>81</v>
      </c>
      <c r="D115" s="1" t="s">
        <v>75</v>
      </c>
      <c r="E115" s="1" t="s">
        <v>137</v>
      </c>
      <c r="F115" s="1" t="s">
        <v>36</v>
      </c>
      <c r="G115" s="1" t="s">
        <v>78</v>
      </c>
      <c r="H115" s="1" t="s">
        <v>79</v>
      </c>
      <c r="I115" s="1" t="s">
        <v>25</v>
      </c>
      <c r="J115" s="1" t="s">
        <v>76</v>
      </c>
      <c r="K115" s="1" t="s">
        <v>77</v>
      </c>
      <c r="L115" s="1" t="s">
        <v>22</v>
      </c>
      <c r="M115" s="1" t="s">
        <v>138</v>
      </c>
      <c r="N115" s="1" t="s">
        <v>42</v>
      </c>
    </row>
    <row r="116" spans="2:15">
      <c r="B116" s="1" t="s">
        <v>73</v>
      </c>
      <c r="C116">
        <v>-1</v>
      </c>
      <c r="D116">
        <v>-1</v>
      </c>
      <c r="E116">
        <v>-2</v>
      </c>
      <c r="F116">
        <v>-2</v>
      </c>
      <c r="G116">
        <v>-1</v>
      </c>
      <c r="H116">
        <v>-1</v>
      </c>
      <c r="I116">
        <v>2</v>
      </c>
      <c r="J116">
        <v>3</v>
      </c>
      <c r="K116">
        <v>1</v>
      </c>
      <c r="L116">
        <v>1</v>
      </c>
      <c r="M116">
        <v>1</v>
      </c>
      <c r="N116">
        <v>1</v>
      </c>
    </row>
    <row r="117" spans="2:15">
      <c r="B117" s="1" t="s">
        <v>47</v>
      </c>
      <c r="C117">
        <v>258.12</v>
      </c>
      <c r="D117">
        <v>170.06</v>
      </c>
      <c r="E117">
        <f>G59-17+340</f>
        <v>583.58561888936697</v>
      </c>
      <c r="F117">
        <v>507</v>
      </c>
      <c r="G117">
        <v>479.13</v>
      </c>
      <c r="H117">
        <v>18</v>
      </c>
      <c r="I117">
        <v>345.06</v>
      </c>
      <c r="J117">
        <v>177.94</v>
      </c>
      <c r="K117">
        <v>95.98</v>
      </c>
      <c r="L117">
        <v>321.18</v>
      </c>
      <c r="M117">
        <v>340</v>
      </c>
      <c r="N117">
        <f>-SUMPRODUCT(C116:M116,C117:M117)</f>
        <v>1125.381237778734</v>
      </c>
    </row>
    <row r="118" spans="2:15">
      <c r="B118" s="1"/>
      <c r="C118" s="1" t="s">
        <v>82</v>
      </c>
    </row>
    <row r="119" spans="2:15">
      <c r="B119" s="1" t="s">
        <v>74</v>
      </c>
      <c r="C119" s="1" t="s">
        <v>81</v>
      </c>
      <c r="D119" s="1" t="s">
        <v>75</v>
      </c>
      <c r="E119" s="1" t="s">
        <v>137</v>
      </c>
      <c r="F119" s="1" t="s">
        <v>36</v>
      </c>
      <c r="G119" s="1" t="s">
        <v>78</v>
      </c>
      <c r="H119" s="1" t="s">
        <v>79</v>
      </c>
      <c r="I119" s="1" t="s">
        <v>25</v>
      </c>
      <c r="J119" s="1" t="s">
        <v>76</v>
      </c>
      <c r="K119" s="1" t="s">
        <v>77</v>
      </c>
      <c r="L119" s="1" t="s">
        <v>22</v>
      </c>
      <c r="M119" s="1" t="s">
        <v>138</v>
      </c>
      <c r="N119" s="1" t="s">
        <v>82</v>
      </c>
    </row>
    <row r="120" spans="2:15">
      <c r="B120" s="1" t="s">
        <v>73</v>
      </c>
      <c r="C120">
        <v>-1</v>
      </c>
      <c r="D120">
        <v>-1</v>
      </c>
      <c r="E120">
        <v>-1</v>
      </c>
      <c r="F120">
        <v>-1</v>
      </c>
      <c r="G120">
        <v>-1</v>
      </c>
      <c r="H120">
        <v>-1</v>
      </c>
      <c r="I120">
        <v>1</v>
      </c>
      <c r="J120">
        <v>2</v>
      </c>
      <c r="K120">
        <v>1</v>
      </c>
      <c r="L120">
        <v>1</v>
      </c>
      <c r="M120">
        <v>1</v>
      </c>
      <c r="N120">
        <v>1</v>
      </c>
    </row>
    <row r="121" spans="2:15">
      <c r="B121" s="1" t="s">
        <v>47</v>
      </c>
      <c r="C121">
        <v>258.12</v>
      </c>
      <c r="D121">
        <v>170.06</v>
      </c>
      <c r="E121" s="1">
        <f>G59-17+340</f>
        <v>583.58561888936697</v>
      </c>
      <c r="F121">
        <v>507</v>
      </c>
      <c r="G121">
        <v>479.13</v>
      </c>
      <c r="H121">
        <v>18</v>
      </c>
      <c r="I121">
        <v>345.06</v>
      </c>
      <c r="J121">
        <v>177.94</v>
      </c>
      <c r="K121">
        <v>95.98</v>
      </c>
      <c r="L121">
        <v>321.18</v>
      </c>
      <c r="M121">
        <v>340</v>
      </c>
      <c r="N121">
        <f>-SUMPRODUCT(C120:M120,C121:M121)</f>
        <v>557.79561888936701</v>
      </c>
    </row>
    <row r="122" spans="2:15">
      <c r="B122" s="1"/>
      <c r="C122" s="1" t="s">
        <v>18</v>
      </c>
    </row>
    <row r="123" spans="2:15">
      <c r="B123" s="1" t="s">
        <v>74</v>
      </c>
      <c r="C123" s="1" t="s">
        <v>75</v>
      </c>
      <c r="D123" s="1" t="s">
        <v>137</v>
      </c>
      <c r="E123" s="1" t="s">
        <v>36</v>
      </c>
      <c r="F123" s="1" t="s">
        <v>78</v>
      </c>
      <c r="G123" s="1" t="s">
        <v>79</v>
      </c>
      <c r="H123" s="1" t="s">
        <v>33</v>
      </c>
      <c r="I123" s="1" t="s">
        <v>25</v>
      </c>
      <c r="J123" s="1" t="s">
        <v>76</v>
      </c>
      <c r="K123" s="1" t="s">
        <v>77</v>
      </c>
      <c r="L123" s="1" t="s">
        <v>22</v>
      </c>
      <c r="M123" s="1" t="s">
        <v>84</v>
      </c>
      <c r="N123" s="1" t="s">
        <v>138</v>
      </c>
      <c r="O123" s="1" t="s">
        <v>18</v>
      </c>
    </row>
    <row r="124" spans="2:15">
      <c r="B124" s="1" t="s">
        <v>73</v>
      </c>
      <c r="C124">
        <v>-1</v>
      </c>
      <c r="D124">
        <v>-2</v>
      </c>
      <c r="E124">
        <v>-2</v>
      </c>
      <c r="F124">
        <v>-1</v>
      </c>
      <c r="G124">
        <v>-1</v>
      </c>
      <c r="H124">
        <v>-1</v>
      </c>
      <c r="I124">
        <v>2</v>
      </c>
      <c r="J124">
        <v>3</v>
      </c>
      <c r="K124">
        <v>1</v>
      </c>
      <c r="L124">
        <v>1</v>
      </c>
      <c r="M124">
        <v>1</v>
      </c>
      <c r="N124">
        <v>1</v>
      </c>
      <c r="O124">
        <v>1</v>
      </c>
    </row>
    <row r="125" spans="2:15">
      <c r="B125" s="1" t="s">
        <v>47</v>
      </c>
      <c r="C125">
        <v>170.06</v>
      </c>
      <c r="D125">
        <f>G59-17+340</f>
        <v>583.58561888936697</v>
      </c>
      <c r="E125">
        <v>507</v>
      </c>
      <c r="F125">
        <v>479.13</v>
      </c>
      <c r="G125">
        <v>18</v>
      </c>
      <c r="H125">
        <v>105.09</v>
      </c>
      <c r="I125">
        <v>345.06</v>
      </c>
      <c r="J125">
        <v>177.94</v>
      </c>
      <c r="K125">
        <v>95.98</v>
      </c>
      <c r="L125">
        <v>321.18</v>
      </c>
      <c r="M125">
        <v>44.01</v>
      </c>
      <c r="N125">
        <v>340</v>
      </c>
      <c r="O125">
        <f>-SUMPRODUCT(C124:N124,C125:N125)</f>
        <v>928.34123777873424</v>
      </c>
    </row>
    <row r="126" spans="2:15">
      <c r="C126" s="1" t="s">
        <v>252</v>
      </c>
    </row>
    <row r="127" spans="2:15">
      <c r="B127" s="1" t="s">
        <v>74</v>
      </c>
      <c r="C127" s="1" t="s">
        <v>19</v>
      </c>
      <c r="D127" s="1" t="s">
        <v>79</v>
      </c>
      <c r="E127" s="1" t="s">
        <v>36</v>
      </c>
      <c r="F127" s="1" t="s">
        <v>138</v>
      </c>
      <c r="G127" s="1" t="s">
        <v>137</v>
      </c>
      <c r="H127" s="1" t="s">
        <v>25</v>
      </c>
      <c r="I127" s="1" t="s">
        <v>76</v>
      </c>
      <c r="J127" s="1" t="s">
        <v>85</v>
      </c>
      <c r="K127" t="s">
        <v>54</v>
      </c>
    </row>
    <row r="128" spans="2:15">
      <c r="B128" s="1" t="s">
        <v>73</v>
      </c>
      <c r="C128">
        <v>-2</v>
      </c>
      <c r="D128">
        <v>-1</v>
      </c>
      <c r="E128">
        <v>-1</v>
      </c>
      <c r="F128">
        <v>-1</v>
      </c>
      <c r="G128">
        <v>1</v>
      </c>
      <c r="H128">
        <v>1</v>
      </c>
      <c r="I128">
        <v>1</v>
      </c>
      <c r="J128">
        <v>1</v>
      </c>
      <c r="K128">
        <v>1</v>
      </c>
    </row>
    <row r="129" spans="1:11">
      <c r="B129" s="1" t="s">
        <v>47</v>
      </c>
      <c r="C129">
        <f>M109</f>
        <v>1037.321237778734</v>
      </c>
      <c r="D129">
        <v>18</v>
      </c>
      <c r="E129">
        <v>507</v>
      </c>
      <c r="F129">
        <v>340</v>
      </c>
      <c r="G129">
        <f>G59-17+340</f>
        <v>583.58561888936697</v>
      </c>
      <c r="H129">
        <v>345.06</v>
      </c>
      <c r="I129">
        <v>177.94</v>
      </c>
      <c r="J129">
        <v>245.15</v>
      </c>
      <c r="K129">
        <f>-SUMPRODUCT(C128:J128,C129:J129)</f>
        <v>1587.9068566681012</v>
      </c>
    </row>
    <row r="131" spans="1:11">
      <c r="A131" s="12" t="s">
        <v>219</v>
      </c>
      <c r="B131" s="13" t="s">
        <v>136</v>
      </c>
      <c r="C131" s="13" t="s">
        <v>133</v>
      </c>
      <c r="D131" s="13"/>
      <c r="E131" s="29" t="s">
        <v>220</v>
      </c>
      <c r="F131" s="13" t="s">
        <v>134</v>
      </c>
      <c r="G131" s="13" t="s">
        <v>134</v>
      </c>
      <c r="H131" s="13" t="s">
        <v>135</v>
      </c>
      <c r="I131" s="12" t="s">
        <v>221</v>
      </c>
      <c r="J131" s="12" t="s">
        <v>222</v>
      </c>
    </row>
    <row r="132" spans="1:11">
      <c r="A132" s="12" t="s">
        <v>225</v>
      </c>
      <c r="B132" s="13" t="s">
        <v>136</v>
      </c>
      <c r="C132" s="13" t="s">
        <v>133</v>
      </c>
      <c r="D132" s="13"/>
      <c r="E132" s="29" t="s">
        <v>226</v>
      </c>
      <c r="F132" s="13" t="s">
        <v>134</v>
      </c>
      <c r="G132" s="13" t="s">
        <v>134</v>
      </c>
      <c r="H132" s="13" t="s">
        <v>135</v>
      </c>
      <c r="I132" s="12" t="s">
        <v>227</v>
      </c>
      <c r="J132" s="12" t="s">
        <v>228</v>
      </c>
    </row>
    <row r="133" spans="1:11">
      <c r="A133" s="12" t="s">
        <v>231</v>
      </c>
      <c r="B133" s="13" t="s">
        <v>136</v>
      </c>
      <c r="C133" s="13" t="s">
        <v>133</v>
      </c>
      <c r="D133" s="13"/>
      <c r="E133" s="12" t="s">
        <v>232</v>
      </c>
      <c r="F133" s="13" t="s">
        <v>134</v>
      </c>
      <c r="G133" s="13" t="s">
        <v>134</v>
      </c>
      <c r="H133" s="13" t="s">
        <v>135</v>
      </c>
      <c r="I133" s="12" t="s">
        <v>234</v>
      </c>
      <c r="J133" s="12" t="s">
        <v>233</v>
      </c>
    </row>
    <row r="134" spans="1:11">
      <c r="A134" s="12" t="s">
        <v>240</v>
      </c>
      <c r="B134" s="13" t="s">
        <v>136</v>
      </c>
      <c r="C134" s="13" t="s">
        <v>133</v>
      </c>
      <c r="D134" s="13"/>
      <c r="E134" s="12" t="s">
        <v>235</v>
      </c>
      <c r="F134" s="13" t="s">
        <v>134</v>
      </c>
      <c r="G134" s="13" t="s">
        <v>134</v>
      </c>
      <c r="H134" s="13" t="s">
        <v>135</v>
      </c>
      <c r="I134" s="12" t="s">
        <v>238</v>
      </c>
      <c r="J134" s="12" t="s">
        <v>239</v>
      </c>
    </row>
    <row r="135" spans="1:11">
      <c r="A135" s="12" t="s">
        <v>245</v>
      </c>
      <c r="B135" s="13" t="s">
        <v>136</v>
      </c>
      <c r="C135" s="13" t="s">
        <v>133</v>
      </c>
      <c r="D135" s="13"/>
      <c r="E135" s="12" t="s">
        <v>246</v>
      </c>
      <c r="F135" s="13" t="s">
        <v>134</v>
      </c>
      <c r="G135" s="13" t="s">
        <v>134</v>
      </c>
      <c r="H135" s="13" t="s">
        <v>135</v>
      </c>
      <c r="I135" s="12" t="s">
        <v>247</v>
      </c>
      <c r="J135" s="12" t="s">
        <v>248</v>
      </c>
    </row>
    <row r="136" spans="1:11">
      <c r="A136" s="12" t="s">
        <v>253</v>
      </c>
      <c r="B136" s="13" t="s">
        <v>136</v>
      </c>
      <c r="C136" s="12" t="s">
        <v>133</v>
      </c>
      <c r="D136" s="13"/>
      <c r="E136" s="12" t="s">
        <v>254</v>
      </c>
      <c r="F136" s="13" t="s">
        <v>134</v>
      </c>
      <c r="G136" s="13" t="s">
        <v>134</v>
      </c>
      <c r="H136" s="13" t="s">
        <v>135</v>
      </c>
      <c r="I136" s="12" t="s">
        <v>255</v>
      </c>
      <c r="J136" s="12" t="s">
        <v>256</v>
      </c>
    </row>
    <row r="137" spans="1:11">
      <c r="A137" s="12"/>
      <c r="B137" s="13"/>
      <c r="C137" s="12"/>
      <c r="D137" s="13"/>
      <c r="E137" s="12"/>
      <c r="F137" s="13"/>
      <c r="G137" s="13"/>
      <c r="H137" s="13"/>
      <c r="I137" s="12"/>
      <c r="J137" s="12"/>
    </row>
    <row r="138" spans="1:11">
      <c r="A138" s="2" t="s">
        <v>51</v>
      </c>
    </row>
    <row r="139" spans="1:11">
      <c r="A139" s="1" t="s">
        <v>87</v>
      </c>
    </row>
    <row r="141" spans="1:11">
      <c r="A141" s="1" t="s">
        <v>74</v>
      </c>
      <c r="B141" s="1" t="s">
        <v>42</v>
      </c>
      <c r="C141" s="1" t="s">
        <v>88</v>
      </c>
      <c r="D141" s="1" t="s">
        <v>89</v>
      </c>
      <c r="E141" s="1" t="s">
        <v>83</v>
      </c>
      <c r="F141" s="1" t="s">
        <v>90</v>
      </c>
    </row>
    <row r="142" spans="1:11">
      <c r="A142" s="1" t="s">
        <v>73</v>
      </c>
      <c r="B142">
        <v>-1</v>
      </c>
      <c r="C142">
        <v>-1</v>
      </c>
      <c r="D142">
        <v>1</v>
      </c>
      <c r="E142">
        <v>1</v>
      </c>
      <c r="F142">
        <v>1</v>
      </c>
    </row>
    <row r="143" spans="1:11">
      <c r="A143" s="1" t="s">
        <v>47</v>
      </c>
      <c r="B143">
        <f>N117</f>
        <v>1125.381237778734</v>
      </c>
      <c r="C143">
        <v>603.33000000000004</v>
      </c>
      <c r="D143">
        <v>443.02</v>
      </c>
      <c r="E143">
        <v>1</v>
      </c>
      <c r="F143">
        <f>-SUMPRODUCT(B142:E142,B143:E143)</f>
        <v>1284.6912377787339</v>
      </c>
    </row>
    <row r="145" spans="1:10">
      <c r="A145" s="12" t="s">
        <v>260</v>
      </c>
      <c r="B145" s="13" t="s">
        <v>136</v>
      </c>
      <c r="C145" s="12" t="s">
        <v>133</v>
      </c>
      <c r="D145" s="13"/>
      <c r="E145" s="12" t="s">
        <v>261</v>
      </c>
      <c r="F145" s="13" t="s">
        <v>134</v>
      </c>
      <c r="G145" s="13" t="s">
        <v>134</v>
      </c>
      <c r="H145" s="13" t="s">
        <v>135</v>
      </c>
      <c r="I145" s="13" t="s">
        <v>270</v>
      </c>
      <c r="J145" s="13" t="s">
        <v>262</v>
      </c>
    </row>
    <row r="146" spans="1:10">
      <c r="A146" s="12"/>
      <c r="B146" s="13"/>
      <c r="C146" s="12"/>
      <c r="D146" s="13"/>
      <c r="E146" s="12"/>
      <c r="F146" s="13"/>
      <c r="G146" s="13"/>
      <c r="H146" s="13"/>
      <c r="I146" s="13"/>
      <c r="J146" s="13"/>
    </row>
    <row r="147" spans="1:10">
      <c r="A147" s="12"/>
      <c r="B147" s="13"/>
      <c r="C147" s="12"/>
      <c r="D147" s="13"/>
      <c r="E147" s="12"/>
      <c r="F147" s="13"/>
      <c r="G147" s="13"/>
      <c r="H147" s="13"/>
      <c r="I147" s="13"/>
      <c r="J147" s="13"/>
    </row>
    <row r="148" spans="1:10">
      <c r="A148" s="1" t="s">
        <v>92</v>
      </c>
      <c r="D148">
        <f>1/F143*1000</f>
        <v>0.77839715146576949</v>
      </c>
      <c r="E148" s="1" t="s">
        <v>93</v>
      </c>
    </row>
    <row r="149" spans="1:10">
      <c r="A149" s="1" t="s">
        <v>95</v>
      </c>
      <c r="D149">
        <f>D148*D89</f>
        <v>0.44479837226615404</v>
      </c>
      <c r="E149" s="1" t="s">
        <v>93</v>
      </c>
    </row>
    <row r="150" spans="1:10">
      <c r="A150" s="1"/>
      <c r="E150" s="1"/>
    </row>
    <row r="151" spans="1:10">
      <c r="A151" s="1"/>
      <c r="E151" s="1"/>
    </row>
    <row r="152" spans="1:10" s="13" customFormat="1">
      <c r="A152" s="1"/>
      <c r="B152"/>
      <c r="C152"/>
      <c r="D152"/>
      <c r="E152" s="1"/>
      <c r="F152"/>
      <c r="G152"/>
      <c r="H152"/>
      <c r="I152"/>
      <c r="J152"/>
    </row>
    <row r="153" spans="1:10">
      <c r="A153" s="2" t="s">
        <v>96</v>
      </c>
    </row>
    <row r="154" spans="1:10">
      <c r="A154" s="1"/>
    </row>
    <row r="155" spans="1:10">
      <c r="A155" s="1" t="s">
        <v>97</v>
      </c>
      <c r="B155" s="1" t="s">
        <v>93</v>
      </c>
      <c r="C155" s="1" t="s">
        <v>47</v>
      </c>
    </row>
    <row r="156" spans="1:10">
      <c r="A156" t="str">
        <f t="shared" ref="A156:A161" si="13">A96</f>
        <v>Cardiolipin</v>
      </c>
      <c r="B156">
        <f t="shared" ref="B156:B161" si="14">G96</f>
        <v>8.6087325351284771E-2</v>
      </c>
      <c r="C156">
        <f t="shared" ref="C156:C161" si="15">E96</f>
        <v>1982.548475557468</v>
      </c>
    </row>
    <row r="157" spans="1:10">
      <c r="A157" t="str">
        <f t="shared" si="13"/>
        <v>Phosphatidylglycerol</v>
      </c>
      <c r="B157">
        <f t="shared" si="14"/>
        <v>5.7391550234189855E-2</v>
      </c>
      <c r="C157">
        <f t="shared" si="15"/>
        <v>1037.321237778734</v>
      </c>
    </row>
    <row r="158" spans="1:10">
      <c r="A158" t="str">
        <f t="shared" si="13"/>
        <v>Phosphatidylinositol</v>
      </c>
      <c r="B158">
        <f t="shared" si="14"/>
        <v>5.7391550234189855E-2</v>
      </c>
      <c r="C158">
        <f t="shared" si="15"/>
        <v>1125.381237778734</v>
      </c>
    </row>
    <row r="159" spans="1:10">
      <c r="A159" t="str">
        <f t="shared" si="13"/>
        <v>Lyso-phosphatidylinositol</v>
      </c>
      <c r="B159">
        <f t="shared" si="14"/>
        <v>2.8695775117094927E-2</v>
      </c>
      <c r="C159">
        <f t="shared" si="15"/>
        <v>557.79561888936701</v>
      </c>
    </row>
    <row r="160" spans="1:10">
      <c r="A160" t="str">
        <f t="shared" si="13"/>
        <v>Phosphatidylethanolamine</v>
      </c>
      <c r="B160">
        <f t="shared" si="14"/>
        <v>2.8695775117094927E-2</v>
      </c>
      <c r="C160">
        <f t="shared" si="15"/>
        <v>928.34123777873424</v>
      </c>
    </row>
    <row r="161" spans="1:10">
      <c r="A161" t="str">
        <f t="shared" si="13"/>
        <v>Acylphosphatidylglycerol</v>
      </c>
      <c r="B161">
        <f t="shared" si="14"/>
        <v>5.7391550234189855E-2</v>
      </c>
      <c r="C161">
        <f t="shared" si="15"/>
        <v>1587.9068566681012</v>
      </c>
    </row>
    <row r="162" spans="1:10">
      <c r="A162" t="str">
        <f>F141</f>
        <v>Diacylinositol mannoside</v>
      </c>
      <c r="B162">
        <f>D149</f>
        <v>0.44479837226615404</v>
      </c>
      <c r="C162">
        <f>F143</f>
        <v>1284.6912377787339</v>
      </c>
    </row>
    <row r="163" spans="1:10">
      <c r="A163" s="1" t="s">
        <v>98</v>
      </c>
      <c r="C163">
        <f>SUMPRODUCT(B156:B162,C156:C162)/1000</f>
        <v>1.0000000000000002</v>
      </c>
    </row>
    <row r="164" spans="1:10">
      <c r="H164" t="s">
        <v>131</v>
      </c>
    </row>
    <row r="165" spans="1:10">
      <c r="A165" s="12" t="s">
        <v>263</v>
      </c>
      <c r="B165" s="13" t="s">
        <v>136</v>
      </c>
      <c r="C165" s="12" t="s">
        <v>133</v>
      </c>
      <c r="D165" s="13"/>
      <c r="E165" s="12" t="s">
        <v>264</v>
      </c>
      <c r="F165" s="13" t="s">
        <v>134</v>
      </c>
      <c r="G165" s="13" t="s">
        <v>134</v>
      </c>
      <c r="H165" s="13" t="s">
        <v>135</v>
      </c>
      <c r="I165" s="13" t="s">
        <v>265</v>
      </c>
      <c r="J165" s="13" t="s">
        <v>268</v>
      </c>
    </row>
  </sheetData>
  <mergeCells count="9">
    <mergeCell ref="A92:M93"/>
    <mergeCell ref="A1:P4"/>
    <mergeCell ref="A95:B95"/>
    <mergeCell ref="C94:C95"/>
    <mergeCell ref="D94:D95"/>
    <mergeCell ref="F94:F95"/>
    <mergeCell ref="G94:G95"/>
    <mergeCell ref="E94:E95"/>
    <mergeCell ref="A80:P85"/>
  </mergeCells>
  <conditionalFormatting sqref="A61">
    <cfRule type="duplicateValues" dxfId="17" priority="18"/>
  </conditionalFormatting>
  <conditionalFormatting sqref="A61">
    <cfRule type="duplicateValues" dxfId="16" priority="16"/>
    <cfRule type="duplicateValues" dxfId="15" priority="17"/>
  </conditionalFormatting>
  <conditionalFormatting sqref="A131:A134 A136:A137">
    <cfRule type="duplicateValues" dxfId="14" priority="15"/>
  </conditionalFormatting>
  <conditionalFormatting sqref="A131:A134 A136:A137">
    <cfRule type="duplicateValues" dxfId="13" priority="13"/>
    <cfRule type="duplicateValues" dxfId="12" priority="14"/>
  </conditionalFormatting>
  <conditionalFormatting sqref="A135">
    <cfRule type="duplicateValues" dxfId="11" priority="12"/>
  </conditionalFormatting>
  <conditionalFormatting sqref="A135">
    <cfRule type="duplicateValues" dxfId="10" priority="10"/>
    <cfRule type="duplicateValues" dxfId="9" priority="11"/>
  </conditionalFormatting>
  <conditionalFormatting sqref="A145:A147">
    <cfRule type="duplicateValues" dxfId="8" priority="9"/>
  </conditionalFormatting>
  <conditionalFormatting sqref="A145:A147">
    <cfRule type="duplicateValues" dxfId="7" priority="7"/>
    <cfRule type="duplicateValues" dxfId="6" priority="8"/>
  </conditionalFormatting>
  <conditionalFormatting sqref="A165">
    <cfRule type="duplicateValues" dxfId="5" priority="6"/>
  </conditionalFormatting>
  <conditionalFormatting sqref="A165">
    <cfRule type="duplicateValues" dxfId="4" priority="4"/>
    <cfRule type="duplicateValues" dxfId="3" priority="5"/>
  </conditionalFormatting>
  <conditionalFormatting sqref="A67">
    <cfRule type="duplicateValues" dxfId="2" priority="3"/>
  </conditionalFormatting>
  <conditionalFormatting sqref="A67">
    <cfRule type="duplicateValues" dxfId="1" priority="1"/>
    <cfRule type="duplicateValues" dxfId="0" priority="2"/>
  </conditionalFormatting>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7"/>
  <sheetViews>
    <sheetView workbookViewId="0">
      <selection activeCell="R27" sqref="R27"/>
    </sheetView>
  </sheetViews>
  <sheetFormatPr defaultRowHeight="12.75"/>
  <cols>
    <col min="1" max="14" width="9.140625" style="13"/>
  </cols>
  <sheetData>
    <row r="1" spans="1:16">
      <c r="A1" s="82" t="s">
        <v>49</v>
      </c>
    </row>
    <row r="3" spans="1:16">
      <c r="A3" s="99" t="s">
        <v>662</v>
      </c>
      <c r="B3" s="99"/>
      <c r="C3" s="99"/>
      <c r="D3" s="99"/>
      <c r="E3" s="99"/>
      <c r="F3" s="99"/>
      <c r="G3" s="99"/>
      <c r="H3" s="99"/>
      <c r="I3" s="99"/>
      <c r="J3" s="99"/>
      <c r="K3" s="99"/>
      <c r="L3" s="99"/>
      <c r="M3" s="99"/>
      <c r="N3" s="99"/>
      <c r="O3" s="99"/>
      <c r="P3" s="99"/>
    </row>
    <row r="4" spans="1:16">
      <c r="A4" s="99"/>
      <c r="B4" s="99"/>
      <c r="C4" s="99"/>
      <c r="D4" s="99"/>
      <c r="E4" s="99"/>
      <c r="F4" s="99"/>
      <c r="G4" s="99"/>
      <c r="H4" s="99"/>
      <c r="I4" s="99"/>
      <c r="J4" s="99"/>
      <c r="K4" s="99"/>
      <c r="L4" s="99"/>
      <c r="M4" s="99"/>
      <c r="N4" s="99"/>
      <c r="O4" s="99"/>
      <c r="P4" s="99"/>
    </row>
    <row r="5" spans="1:16">
      <c r="A5" s="79"/>
      <c r="B5" s="79"/>
      <c r="C5" s="79"/>
      <c r="D5" s="79"/>
      <c r="E5" s="79"/>
      <c r="F5" s="79"/>
      <c r="G5" s="79"/>
      <c r="H5" s="79"/>
      <c r="I5" s="79"/>
      <c r="J5" s="79"/>
      <c r="K5" s="79"/>
      <c r="L5" s="79"/>
      <c r="M5" s="79"/>
      <c r="N5" s="79"/>
    </row>
    <row r="6" spans="1:16">
      <c r="A6" s="99" t="s">
        <v>648</v>
      </c>
      <c r="B6" s="99"/>
      <c r="C6" s="99"/>
      <c r="D6" s="99"/>
      <c r="E6" s="99"/>
      <c r="F6" s="99"/>
      <c r="G6" s="99"/>
      <c r="H6" s="99"/>
      <c r="I6" s="99"/>
      <c r="J6" s="99"/>
      <c r="K6" s="99"/>
      <c r="L6" s="99"/>
      <c r="M6" s="99"/>
      <c r="N6" s="99"/>
      <c r="O6" s="99"/>
      <c r="P6" s="99"/>
    </row>
    <row r="7" spans="1:16">
      <c r="A7" s="99"/>
      <c r="B7" s="99"/>
      <c r="C7" s="99"/>
      <c r="D7" s="99"/>
      <c r="E7" s="99"/>
      <c r="F7" s="99"/>
      <c r="G7" s="99"/>
      <c r="H7" s="99"/>
      <c r="I7" s="99"/>
      <c r="J7" s="99"/>
      <c r="K7" s="99"/>
      <c r="L7" s="99"/>
      <c r="M7" s="99"/>
      <c r="N7" s="99"/>
      <c r="O7" s="99"/>
      <c r="P7" s="99"/>
    </row>
    <row r="8" spans="1:16">
      <c r="A8" s="80"/>
      <c r="B8" s="80"/>
      <c r="C8" s="80"/>
      <c r="D8" s="80"/>
      <c r="E8" s="80"/>
      <c r="F8" s="80"/>
      <c r="G8" s="80"/>
      <c r="H8" s="80"/>
      <c r="I8" s="80"/>
      <c r="J8" s="80"/>
      <c r="K8" s="80"/>
      <c r="L8" s="80"/>
      <c r="M8" s="80"/>
      <c r="N8" s="80"/>
    </row>
    <row r="9" spans="1:16">
      <c r="A9" s="99" t="s">
        <v>663</v>
      </c>
      <c r="B9" s="99"/>
      <c r="C9" s="99"/>
      <c r="D9" s="99"/>
      <c r="E9" s="99"/>
      <c r="F9" s="99"/>
      <c r="G9" s="99"/>
      <c r="H9" s="99"/>
      <c r="I9" s="99"/>
      <c r="J9" s="99"/>
      <c r="K9" s="99"/>
      <c r="L9" s="99"/>
      <c r="M9" s="99"/>
      <c r="N9" s="99"/>
      <c r="O9" s="99"/>
      <c r="P9" s="99"/>
    </row>
    <row r="10" spans="1:16">
      <c r="A10" s="99"/>
      <c r="B10" s="99"/>
      <c r="C10" s="99"/>
      <c r="D10" s="99"/>
      <c r="E10" s="99"/>
      <c r="F10" s="99"/>
      <c r="G10" s="99"/>
      <c r="H10" s="99"/>
      <c r="I10" s="99"/>
      <c r="J10" s="99"/>
      <c r="K10" s="99"/>
      <c r="L10" s="99"/>
      <c r="M10" s="99"/>
      <c r="N10" s="99"/>
      <c r="O10" s="99"/>
      <c r="P10" s="99"/>
    </row>
    <row r="11" spans="1:16" ht="13.5" customHeight="1">
      <c r="A11" s="81"/>
      <c r="B11" s="81"/>
      <c r="C11" s="81"/>
      <c r="D11" s="81"/>
      <c r="E11" s="81"/>
      <c r="F11" s="81"/>
      <c r="G11" s="81"/>
      <c r="H11" s="81"/>
      <c r="I11" s="81"/>
      <c r="J11" s="80"/>
      <c r="K11" s="80"/>
      <c r="L11" s="80"/>
      <c r="M11" s="80"/>
      <c r="N11" s="80"/>
    </row>
    <row r="12" spans="1:16">
      <c r="A12" s="99" t="s">
        <v>667</v>
      </c>
      <c r="B12" s="99"/>
      <c r="C12" s="99"/>
      <c r="D12" s="99"/>
      <c r="E12" s="99"/>
      <c r="F12" s="99"/>
      <c r="G12" s="99"/>
      <c r="H12" s="99"/>
      <c r="I12" s="99"/>
      <c r="J12" s="99"/>
      <c r="K12" s="99"/>
      <c r="L12" s="99"/>
      <c r="M12" s="99"/>
      <c r="N12" s="99"/>
      <c r="O12" s="99"/>
      <c r="P12" s="99"/>
    </row>
    <row r="13" spans="1:16">
      <c r="A13" s="99"/>
      <c r="B13" s="99"/>
      <c r="C13" s="99"/>
      <c r="D13" s="99"/>
      <c r="E13" s="99"/>
      <c r="F13" s="99"/>
      <c r="G13" s="99"/>
      <c r="H13" s="99"/>
      <c r="I13" s="99"/>
      <c r="J13" s="99"/>
      <c r="K13" s="99"/>
      <c r="L13" s="99"/>
      <c r="M13" s="99"/>
      <c r="N13" s="99"/>
      <c r="O13" s="99"/>
      <c r="P13" s="99"/>
    </row>
    <row r="14" spans="1:16">
      <c r="A14" s="81"/>
      <c r="B14" s="81"/>
      <c r="C14" s="81"/>
      <c r="D14" s="81"/>
      <c r="E14" s="81"/>
      <c r="F14" s="81"/>
      <c r="G14" s="81"/>
      <c r="H14" s="81"/>
      <c r="I14" s="81"/>
      <c r="J14" s="81"/>
      <c r="K14" s="81"/>
      <c r="L14" s="81"/>
      <c r="M14" s="81"/>
      <c r="N14" s="81"/>
    </row>
    <row r="15" spans="1:16" ht="12.75" customHeight="1">
      <c r="A15" s="99" t="s">
        <v>664</v>
      </c>
      <c r="B15" s="99"/>
      <c r="C15" s="99"/>
      <c r="D15" s="99"/>
      <c r="E15" s="99"/>
      <c r="F15" s="99"/>
      <c r="G15" s="99"/>
      <c r="H15" s="99"/>
      <c r="I15" s="99"/>
      <c r="J15" s="99"/>
      <c r="K15" s="99"/>
      <c r="L15" s="99"/>
      <c r="M15" s="99"/>
      <c r="N15" s="99"/>
      <c r="O15" s="99"/>
      <c r="P15" s="99"/>
    </row>
    <row r="16" spans="1:16">
      <c r="A16" s="99"/>
      <c r="B16" s="99"/>
      <c r="C16" s="99"/>
      <c r="D16" s="99"/>
      <c r="E16" s="99"/>
      <c r="F16" s="99"/>
      <c r="G16" s="99"/>
      <c r="H16" s="99"/>
      <c r="I16" s="99"/>
      <c r="J16" s="99"/>
      <c r="K16" s="99"/>
      <c r="L16" s="99"/>
      <c r="M16" s="99"/>
      <c r="N16" s="99"/>
      <c r="O16" s="99"/>
      <c r="P16" s="99"/>
    </row>
    <row r="17" spans="1:16">
      <c r="A17" s="83"/>
      <c r="B17" s="83"/>
      <c r="C17" s="83"/>
      <c r="D17" s="83"/>
      <c r="E17" s="83"/>
      <c r="F17" s="83"/>
      <c r="G17" s="83"/>
      <c r="H17" s="83"/>
      <c r="I17" s="83"/>
      <c r="J17" s="79"/>
      <c r="K17" s="79"/>
      <c r="L17" s="79"/>
      <c r="M17" s="79"/>
      <c r="N17" s="79"/>
    </row>
    <row r="18" spans="1:16">
      <c r="A18" s="101" t="s">
        <v>650</v>
      </c>
      <c r="B18" s="101"/>
      <c r="C18" s="101"/>
      <c r="D18" s="101"/>
      <c r="E18" s="101"/>
      <c r="F18" s="101"/>
      <c r="G18" s="101"/>
      <c r="H18" s="101"/>
      <c r="I18" s="101"/>
      <c r="J18" s="101"/>
      <c r="K18" s="101"/>
      <c r="L18" s="101"/>
      <c r="M18" s="101"/>
      <c r="N18" s="101"/>
      <c r="O18" s="101"/>
      <c r="P18" s="101"/>
    </row>
    <row r="19" spans="1:16">
      <c r="A19" s="101"/>
      <c r="B19" s="101"/>
      <c r="C19" s="101"/>
      <c r="D19" s="101"/>
      <c r="E19" s="101"/>
      <c r="F19" s="101"/>
      <c r="G19" s="101"/>
      <c r="H19" s="101"/>
      <c r="I19" s="101"/>
      <c r="J19" s="101"/>
      <c r="K19" s="101"/>
      <c r="L19" s="101"/>
      <c r="M19" s="101"/>
      <c r="N19" s="101"/>
      <c r="O19" s="101"/>
      <c r="P19" s="101"/>
    </row>
    <row r="20" spans="1:16">
      <c r="A20" s="1"/>
      <c r="B20" s="1"/>
      <c r="C20" s="1"/>
      <c r="D20" s="1"/>
      <c r="E20" s="1"/>
      <c r="F20" s="1"/>
      <c r="G20" s="1"/>
      <c r="H20" s="1"/>
      <c r="I20" s="1"/>
      <c r="J20" s="1"/>
      <c r="K20" s="1"/>
      <c r="L20" s="1"/>
      <c r="M20" s="1"/>
      <c r="N20" s="78"/>
    </row>
    <row r="21" spans="1:16" ht="13.5" customHeight="1">
      <c r="A21" s="99" t="s">
        <v>665</v>
      </c>
      <c r="B21" s="99"/>
      <c r="C21" s="99"/>
      <c r="D21" s="99"/>
      <c r="E21" s="99"/>
      <c r="F21" s="99"/>
      <c r="G21" s="99"/>
      <c r="H21" s="99"/>
      <c r="I21" s="99"/>
      <c r="J21" s="99"/>
      <c r="K21" s="99"/>
      <c r="L21" s="99"/>
      <c r="M21" s="99"/>
      <c r="N21" s="99"/>
      <c r="O21" s="99"/>
      <c r="P21" s="99"/>
    </row>
    <row r="22" spans="1:16">
      <c r="A22" s="99"/>
      <c r="B22" s="99"/>
      <c r="C22" s="99"/>
      <c r="D22" s="99"/>
      <c r="E22" s="99"/>
      <c r="F22" s="99"/>
      <c r="G22" s="99"/>
      <c r="H22" s="99"/>
      <c r="I22" s="99"/>
      <c r="J22" s="99"/>
      <c r="K22" s="99"/>
      <c r="L22" s="99"/>
      <c r="M22" s="99"/>
      <c r="N22" s="99"/>
      <c r="O22" s="99"/>
      <c r="P22" s="99"/>
    </row>
    <row r="23" spans="1:16">
      <c r="A23" s="85"/>
      <c r="B23" s="85"/>
      <c r="C23" s="85"/>
      <c r="D23" s="85"/>
      <c r="E23" s="85"/>
      <c r="F23" s="85"/>
      <c r="G23" s="85"/>
      <c r="H23" s="85"/>
      <c r="I23" s="85"/>
      <c r="J23" s="78"/>
      <c r="K23" s="78"/>
      <c r="L23" s="78"/>
      <c r="M23" s="78"/>
      <c r="N23" s="78"/>
    </row>
    <row r="24" spans="1:16">
      <c r="A24" s="99" t="s">
        <v>652</v>
      </c>
      <c r="B24" s="99"/>
      <c r="C24" s="99"/>
      <c r="D24" s="99"/>
      <c r="E24" s="99"/>
      <c r="F24" s="99"/>
      <c r="G24" s="99"/>
      <c r="H24" s="99"/>
      <c r="I24" s="99"/>
      <c r="J24" s="99"/>
      <c r="K24" s="99"/>
      <c r="L24" s="99"/>
      <c r="M24" s="99"/>
      <c r="N24" s="99"/>
      <c r="O24" s="99"/>
      <c r="P24" s="99"/>
    </row>
    <row r="25" spans="1:16">
      <c r="A25" s="99"/>
      <c r="B25" s="99"/>
      <c r="C25" s="99"/>
      <c r="D25" s="99"/>
      <c r="E25" s="99"/>
      <c r="F25" s="99"/>
      <c r="G25" s="99"/>
      <c r="H25" s="99"/>
      <c r="I25" s="99"/>
      <c r="J25" s="99"/>
      <c r="K25" s="99"/>
      <c r="L25" s="99"/>
      <c r="M25" s="99"/>
      <c r="N25" s="99"/>
      <c r="O25" s="99"/>
      <c r="P25" s="99"/>
    </row>
    <row r="26" spans="1:16">
      <c r="A26" s="85"/>
      <c r="B26" s="85"/>
      <c r="C26" s="85"/>
      <c r="D26" s="85"/>
      <c r="E26" s="85"/>
      <c r="F26" s="85"/>
      <c r="G26" s="85"/>
      <c r="H26" s="85"/>
      <c r="I26" s="85"/>
    </row>
    <row r="27" spans="1:16">
      <c r="A27" s="100" t="s">
        <v>653</v>
      </c>
      <c r="B27" s="100"/>
      <c r="C27" s="100"/>
      <c r="D27" s="100"/>
      <c r="E27" s="100"/>
      <c r="F27" s="100"/>
      <c r="G27" s="100"/>
      <c r="H27" s="100"/>
      <c r="I27" s="100"/>
      <c r="J27" s="100"/>
      <c r="K27" s="100"/>
      <c r="L27" s="100"/>
      <c r="M27" s="100"/>
      <c r="N27" s="100"/>
      <c r="O27" s="100"/>
      <c r="P27" s="100"/>
    </row>
    <row r="28" spans="1:16">
      <c r="A28" s="100"/>
      <c r="B28" s="100"/>
      <c r="C28" s="100"/>
      <c r="D28" s="100"/>
      <c r="E28" s="100"/>
      <c r="F28" s="100"/>
      <c r="G28" s="100"/>
      <c r="H28" s="100"/>
      <c r="I28" s="100"/>
      <c r="J28" s="100"/>
      <c r="K28" s="100"/>
      <c r="L28" s="100"/>
      <c r="M28" s="100"/>
      <c r="N28" s="100"/>
      <c r="O28" s="100"/>
      <c r="P28" s="100"/>
    </row>
    <row r="29" spans="1:16">
      <c r="A29" s="84"/>
      <c r="B29" s="85"/>
      <c r="C29" s="85"/>
      <c r="D29" s="85"/>
      <c r="E29" s="85"/>
      <c r="F29" s="85"/>
      <c r="G29" s="85"/>
      <c r="H29" s="85"/>
      <c r="I29" s="85"/>
      <c r="J29" s="78"/>
      <c r="K29" s="78"/>
      <c r="L29" s="78"/>
      <c r="M29" s="78"/>
      <c r="N29" s="78"/>
    </row>
    <row r="30" spans="1:16">
      <c r="A30" s="99" t="s">
        <v>655</v>
      </c>
      <c r="B30" s="99"/>
      <c r="C30" s="99"/>
      <c r="D30" s="99"/>
      <c r="E30" s="99"/>
      <c r="F30" s="99"/>
      <c r="G30" s="99"/>
      <c r="H30" s="99"/>
      <c r="I30" s="99"/>
      <c r="J30" s="99"/>
      <c r="K30" s="99"/>
      <c r="L30" s="99"/>
      <c r="M30" s="99"/>
      <c r="N30" s="99"/>
      <c r="O30" s="99"/>
      <c r="P30" s="99"/>
    </row>
    <row r="31" spans="1:16">
      <c r="A31" s="99"/>
      <c r="B31" s="99"/>
      <c r="C31" s="99"/>
      <c r="D31" s="99"/>
      <c r="E31" s="99"/>
      <c r="F31" s="99"/>
      <c r="G31" s="99"/>
      <c r="H31" s="99"/>
      <c r="I31" s="99"/>
      <c r="J31" s="99"/>
      <c r="K31" s="99"/>
      <c r="L31" s="99"/>
      <c r="M31" s="99"/>
      <c r="N31" s="99"/>
      <c r="O31" s="99"/>
      <c r="P31" s="99"/>
    </row>
    <row r="32" spans="1:16">
      <c r="A32" s="85"/>
      <c r="B32" s="85"/>
      <c r="C32" s="85"/>
      <c r="D32" s="85"/>
      <c r="E32" s="85"/>
      <c r="F32" s="85"/>
      <c r="G32" s="85"/>
      <c r="H32" s="85"/>
      <c r="I32" s="85"/>
    </row>
    <row r="33" spans="1:16">
      <c r="A33" s="100" t="s">
        <v>657</v>
      </c>
      <c r="B33" s="100"/>
      <c r="C33" s="100"/>
      <c r="D33" s="100"/>
      <c r="E33" s="100"/>
      <c r="F33" s="100"/>
      <c r="G33" s="100"/>
      <c r="H33" s="100"/>
      <c r="I33" s="100"/>
      <c r="J33" s="100"/>
      <c r="K33" s="100"/>
      <c r="L33" s="100"/>
      <c r="M33" s="100"/>
      <c r="N33" s="100"/>
      <c r="O33" s="100"/>
      <c r="P33" s="100"/>
    </row>
    <row r="34" spans="1:16">
      <c r="A34" s="100"/>
      <c r="B34" s="100"/>
      <c r="C34" s="100"/>
      <c r="D34" s="100"/>
      <c r="E34" s="100"/>
      <c r="F34" s="100"/>
      <c r="G34" s="100"/>
      <c r="H34" s="100"/>
      <c r="I34" s="100"/>
      <c r="J34" s="100"/>
      <c r="K34" s="100"/>
      <c r="L34" s="100"/>
      <c r="M34" s="100"/>
      <c r="N34" s="100"/>
      <c r="O34" s="100"/>
      <c r="P34" s="100"/>
    </row>
    <row r="35" spans="1:16">
      <c r="A35" s="85"/>
      <c r="B35" s="85"/>
      <c r="C35" s="85"/>
      <c r="D35" s="85"/>
      <c r="E35" s="85"/>
      <c r="F35" s="85"/>
      <c r="G35" s="85"/>
      <c r="H35" s="85"/>
      <c r="I35" s="85"/>
    </row>
    <row r="36" spans="1:16">
      <c r="A36" s="99" t="s">
        <v>656</v>
      </c>
      <c r="B36" s="99"/>
      <c r="C36" s="99"/>
      <c r="D36" s="99"/>
      <c r="E36" s="99"/>
      <c r="F36" s="99"/>
      <c r="G36" s="99"/>
      <c r="H36" s="99"/>
      <c r="I36" s="99"/>
      <c r="J36" s="99"/>
      <c r="K36" s="99"/>
      <c r="L36" s="99"/>
      <c r="M36" s="99"/>
      <c r="N36" s="99"/>
      <c r="O36" s="99"/>
      <c r="P36" s="99"/>
    </row>
    <row r="37" spans="1:16">
      <c r="A37" s="99"/>
      <c r="B37" s="99"/>
      <c r="C37" s="99"/>
      <c r="D37" s="99"/>
      <c r="E37" s="99"/>
      <c r="F37" s="99"/>
      <c r="G37" s="99"/>
      <c r="H37" s="99"/>
      <c r="I37" s="99"/>
      <c r="J37" s="99"/>
      <c r="K37" s="99"/>
      <c r="L37" s="99"/>
      <c r="M37" s="99"/>
      <c r="N37" s="99"/>
      <c r="O37" s="99"/>
      <c r="P37" s="99"/>
    </row>
    <row r="38" spans="1:16">
      <c r="A38" s="85"/>
      <c r="B38" s="85"/>
      <c r="C38" s="85"/>
      <c r="D38" s="85"/>
      <c r="E38" s="85"/>
      <c r="F38" s="85"/>
      <c r="G38" s="85"/>
      <c r="H38" s="85"/>
      <c r="I38" s="85"/>
    </row>
    <row r="39" spans="1:16" ht="13.5" customHeight="1">
      <c r="A39" s="99" t="s">
        <v>666</v>
      </c>
      <c r="B39" s="99"/>
      <c r="C39" s="99"/>
      <c r="D39" s="99"/>
      <c r="E39" s="99"/>
      <c r="F39" s="99"/>
      <c r="G39" s="99"/>
      <c r="H39" s="99"/>
      <c r="I39" s="99"/>
      <c r="J39" s="99"/>
      <c r="K39" s="99"/>
      <c r="L39" s="99"/>
      <c r="M39" s="99"/>
      <c r="N39" s="99"/>
      <c r="O39" s="99"/>
      <c r="P39" s="99"/>
    </row>
    <row r="40" spans="1:16">
      <c r="A40" s="99"/>
      <c r="B40" s="99"/>
      <c r="C40" s="99"/>
      <c r="D40" s="99"/>
      <c r="E40" s="99"/>
      <c r="F40" s="99"/>
      <c r="G40" s="99"/>
      <c r="H40" s="99"/>
      <c r="I40" s="99"/>
      <c r="J40" s="99"/>
      <c r="K40" s="99"/>
      <c r="L40" s="99"/>
      <c r="M40" s="99"/>
      <c r="N40" s="99"/>
      <c r="O40" s="99"/>
      <c r="P40" s="99"/>
    </row>
    <row r="41" spans="1:16">
      <c r="A41" s="85"/>
      <c r="B41" s="85"/>
      <c r="C41" s="85"/>
      <c r="D41" s="85"/>
      <c r="E41" s="85"/>
      <c r="F41" s="85"/>
      <c r="G41" s="85"/>
      <c r="H41" s="85"/>
      <c r="I41" s="85"/>
    </row>
    <row r="42" spans="1:16">
      <c r="A42" s="99" t="s">
        <v>658</v>
      </c>
      <c r="B42" s="99"/>
      <c r="C42" s="99"/>
      <c r="D42" s="99"/>
      <c r="E42" s="99"/>
      <c r="F42" s="99"/>
      <c r="G42" s="99"/>
      <c r="H42" s="99"/>
      <c r="I42" s="99"/>
      <c r="J42" s="99"/>
      <c r="K42" s="99"/>
      <c r="L42" s="99"/>
      <c r="M42" s="99"/>
      <c r="N42" s="99"/>
      <c r="O42" s="99"/>
      <c r="P42" s="99"/>
    </row>
    <row r="43" spans="1:16">
      <c r="A43" s="99"/>
      <c r="B43" s="99"/>
      <c r="C43" s="99"/>
      <c r="D43" s="99"/>
      <c r="E43" s="99"/>
      <c r="F43" s="99"/>
      <c r="G43" s="99"/>
      <c r="H43" s="99"/>
      <c r="I43" s="99"/>
      <c r="J43" s="99"/>
      <c r="K43" s="99"/>
      <c r="L43" s="99"/>
      <c r="M43" s="99"/>
      <c r="N43" s="99"/>
      <c r="O43" s="99"/>
      <c r="P43" s="99"/>
    </row>
    <row r="44" spans="1:16">
      <c r="A44" s="85"/>
      <c r="B44" s="85"/>
      <c r="C44" s="85"/>
      <c r="D44" s="85"/>
      <c r="E44" s="85"/>
      <c r="F44" s="85"/>
      <c r="G44" s="85"/>
      <c r="H44" s="85"/>
      <c r="I44" s="85"/>
    </row>
    <row r="45" spans="1:16">
      <c r="A45" s="99" t="s">
        <v>659</v>
      </c>
      <c r="B45" s="99"/>
      <c r="C45" s="99"/>
      <c r="D45" s="99"/>
      <c r="E45" s="99"/>
      <c r="F45" s="99"/>
      <c r="G45" s="99"/>
      <c r="H45" s="99"/>
      <c r="I45" s="99"/>
      <c r="J45" s="99"/>
      <c r="K45" s="99"/>
      <c r="L45" s="99"/>
      <c r="M45" s="99"/>
      <c r="N45" s="99"/>
      <c r="O45" s="99"/>
      <c r="P45" s="99"/>
    </row>
    <row r="46" spans="1:16">
      <c r="A46" s="99"/>
      <c r="B46" s="99"/>
      <c r="C46" s="99"/>
      <c r="D46" s="99"/>
      <c r="E46" s="99"/>
      <c r="F46" s="99"/>
      <c r="G46" s="99"/>
      <c r="H46" s="99"/>
      <c r="I46" s="99"/>
      <c r="J46" s="99"/>
      <c r="K46" s="99"/>
      <c r="L46" s="99"/>
      <c r="M46" s="99"/>
      <c r="N46" s="99"/>
      <c r="O46" s="99"/>
      <c r="P46" s="99"/>
    </row>
    <row r="47" spans="1:16">
      <c r="A47" s="85"/>
      <c r="B47" s="85"/>
      <c r="C47" s="85"/>
      <c r="D47" s="85"/>
      <c r="E47" s="85"/>
      <c r="F47" s="85"/>
      <c r="G47" s="85"/>
      <c r="H47" s="85"/>
      <c r="I47" s="85"/>
    </row>
    <row r="48" spans="1:16">
      <c r="A48" s="99" t="s">
        <v>661</v>
      </c>
      <c r="B48" s="99"/>
      <c r="C48" s="99"/>
      <c r="D48" s="99"/>
      <c r="E48" s="99"/>
      <c r="F48" s="99"/>
      <c r="G48" s="99"/>
      <c r="H48" s="99"/>
      <c r="I48" s="99"/>
      <c r="J48" s="99"/>
      <c r="K48" s="99"/>
      <c r="L48" s="99"/>
      <c r="M48" s="99"/>
      <c r="N48" s="99"/>
      <c r="O48" s="99"/>
      <c r="P48" s="99"/>
    </row>
    <row r="49" spans="1:16">
      <c r="A49" s="99"/>
      <c r="B49" s="99"/>
      <c r="C49" s="99"/>
      <c r="D49" s="99"/>
      <c r="E49" s="99"/>
      <c r="F49" s="99"/>
      <c r="G49" s="99"/>
      <c r="H49" s="99"/>
      <c r="I49" s="99"/>
      <c r="J49" s="99"/>
      <c r="K49" s="99"/>
      <c r="L49" s="99"/>
      <c r="M49" s="99"/>
      <c r="N49" s="99"/>
      <c r="O49" s="99"/>
      <c r="P49" s="99"/>
    </row>
    <row r="50" spans="1:16">
      <c r="A50" s="85"/>
      <c r="B50" s="85"/>
      <c r="C50" s="85"/>
      <c r="D50" s="85"/>
      <c r="E50" s="85"/>
      <c r="F50" s="85"/>
      <c r="G50" s="85"/>
      <c r="H50" s="85"/>
      <c r="I50" s="85"/>
    </row>
    <row r="51" spans="1:16">
      <c r="A51" s="85"/>
      <c r="B51" s="85"/>
      <c r="C51" s="85"/>
      <c r="D51" s="85"/>
      <c r="E51" s="85"/>
      <c r="F51" s="85"/>
      <c r="G51" s="85"/>
      <c r="H51" s="85"/>
      <c r="I51" s="85"/>
    </row>
    <row r="52" spans="1:16">
      <c r="A52" s="85"/>
      <c r="B52" s="85"/>
      <c r="C52" s="85"/>
      <c r="D52" s="85"/>
      <c r="E52" s="85"/>
      <c r="F52" s="85"/>
      <c r="G52" s="85"/>
      <c r="H52" s="85"/>
      <c r="I52" s="85"/>
    </row>
    <row r="53" spans="1:16">
      <c r="A53" s="85"/>
      <c r="B53" s="85"/>
      <c r="C53" s="85"/>
      <c r="D53" s="85"/>
      <c r="E53" s="85"/>
      <c r="F53" s="85"/>
      <c r="G53" s="85"/>
      <c r="H53" s="85"/>
      <c r="I53" s="85"/>
    </row>
    <row r="54" spans="1:16">
      <c r="A54" s="85"/>
      <c r="B54" s="85"/>
      <c r="C54" s="85"/>
      <c r="D54" s="85"/>
      <c r="E54" s="85"/>
      <c r="F54" s="85"/>
      <c r="G54" s="85"/>
      <c r="H54" s="85"/>
      <c r="I54" s="85"/>
    </row>
    <row r="55" spans="1:16">
      <c r="A55" s="85"/>
      <c r="B55" s="85"/>
      <c r="C55" s="85"/>
      <c r="D55" s="85"/>
      <c r="E55" s="85"/>
      <c r="F55" s="85"/>
      <c r="G55" s="85"/>
      <c r="H55" s="85"/>
      <c r="I55" s="85"/>
    </row>
    <row r="56" spans="1:16">
      <c r="A56" s="85"/>
      <c r="B56" s="85"/>
      <c r="C56" s="85"/>
      <c r="D56" s="85"/>
      <c r="E56" s="85"/>
      <c r="F56" s="85"/>
      <c r="G56" s="85"/>
      <c r="H56" s="85"/>
      <c r="I56" s="85"/>
    </row>
    <row r="57" spans="1:16">
      <c r="A57" s="85"/>
      <c r="B57" s="85"/>
      <c r="C57" s="85"/>
      <c r="D57" s="85"/>
      <c r="E57" s="85"/>
      <c r="F57" s="85"/>
      <c r="G57" s="85"/>
      <c r="H57" s="85"/>
      <c r="I57" s="85"/>
    </row>
  </sheetData>
  <mergeCells count="16">
    <mergeCell ref="A12:P13"/>
    <mergeCell ref="A9:P10"/>
    <mergeCell ref="A6:P7"/>
    <mergeCell ref="A3:P4"/>
    <mergeCell ref="A48:P49"/>
    <mergeCell ref="A45:P46"/>
    <mergeCell ref="A42:P43"/>
    <mergeCell ref="A39:P40"/>
    <mergeCell ref="A36:P37"/>
    <mergeCell ref="A33:P34"/>
    <mergeCell ref="A30:P31"/>
    <mergeCell ref="A27:P28"/>
    <mergeCell ref="A24:P25"/>
    <mergeCell ref="A21:P22"/>
    <mergeCell ref="A18:P19"/>
    <mergeCell ref="A15:P16"/>
  </mergeCells>
  <pageMargins left="0.75" right="0.75" top="1" bottom="1" header="0" footer="0"/>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Overall composition</vt:lpstr>
      <vt:lpstr>Model edits</vt:lpstr>
      <vt:lpstr>PAC DNA</vt:lpstr>
      <vt:lpstr>PAC RNA</vt:lpstr>
      <vt:lpstr>PAC proteins</vt:lpstr>
      <vt:lpstr>PAC small molecules</vt:lpstr>
      <vt:lpstr>PAC cell wall</vt:lpstr>
      <vt:lpstr>PAC lipids</vt:lpstr>
      <vt:lpstr>References</vt:lpstr>
    </vt:vector>
  </TitlesOfParts>
  <Company>DTU</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dc:creator>
  <cp:lastModifiedBy>Timothy McCubbin</cp:lastModifiedBy>
  <cp:lastPrinted>2005-02-17T10:42:02Z</cp:lastPrinted>
  <dcterms:created xsi:type="dcterms:W3CDTF">2004-07-16T08:31:31Z</dcterms:created>
  <dcterms:modified xsi:type="dcterms:W3CDTF">2019-11-04T05:31:58Z</dcterms:modified>
</cp:coreProperties>
</file>